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drawings/drawing1.xml" ContentType="application/vnd.openxmlformats-officedocument.drawing+xml"/>
  <Override PartName="/xl/worksheets/sheet7.xml" ContentType="application/vnd.openxmlformats-officedocument.spreadsheetml.worksheet+xml"/>
  <Override PartName="/xl/worksheets/sheet8.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Inputs" sheetId="2" state="visible" r:id="rId2"/>
    <sheet xmlns:r="http://schemas.openxmlformats.org/officeDocument/2006/relationships" name="Scenarios" sheetId="3" state="visible" r:id="rId3"/>
    <sheet xmlns:r="http://schemas.openxmlformats.org/officeDocument/2006/relationships" name="Model" sheetId="4" state="visible" r:id="rId4"/>
    <sheet xmlns:r="http://schemas.openxmlformats.org/officeDocument/2006/relationships" name="Sensitivity" sheetId="5" state="visible" r:id="rId5"/>
    <sheet xmlns:r="http://schemas.openxmlformats.org/officeDocument/2006/relationships" name="Board summary" sheetId="6" state="visible" r:id="rId6"/>
    <sheet xmlns:r="http://schemas.openxmlformats.org/officeDocument/2006/relationships" name="Example" sheetId="7" state="visible" r:id="rId7"/>
    <sheet xmlns:r="http://schemas.openxmlformats.org/officeDocument/2006/relationships" name="Engine" sheetId="8" state="visible" r:id="rId8"/>
  </sheets>
  <definedNames>
    <definedName name="in_RunMode">Inputs!$C$6</definedName>
    <definedName name="in_Scenario">Inputs!$C$7</definedName>
    <definedName name="in_Currency">Inputs!$F$8</definedName>
    <definedName name="in_UseCase">Inputs!$F$11</definedName>
    <definedName name="in_ItemName">Inputs!$F$12</definedName>
    <definedName name="in_PreparedBy">Inputs!$F$13</definedName>
    <definedName name="in_Volume">Inputs!$F$14</definedName>
    <definedName name="in_Growth">Inputs!$F$15</definedName>
    <definedName name="in_MinsToday">Inputs!$F$17</definedName>
    <definedName name="in_HourlyCost">Inputs!$F$18</definedName>
    <definedName name="in_ErrRateToday">Inputs!$F$19</definedName>
    <definedName name="in_ErrCostToday">Inputs!$F$20</definedName>
    <definedName name="in_FTEHours">Inputs!$F$21</definedName>
    <definedName name="in_ShareHandled">Inputs!$F$23</definedName>
    <definedName name="in_Accuracy">Inputs!$F$24</definedName>
    <definedName name="in_ReviewRate">Inputs!$F$25</definedName>
    <definedName name="in_ReviewMins">Inputs!$F$26</definedName>
    <definedName name="in_CatchRate">Inputs!$F$27</definedName>
    <definedName name="in_FixMins">Inputs!$F$28</definedName>
    <definedName name="in_ErrCostAI">Inputs!$F$29</definedName>
    <definedName name="in_Realisation">Inputs!$F$30</definedName>
    <definedName name="in_Calls">Inputs!$F$32</definedName>
    <definedName name="in_TokIn">Inputs!$F$33</definedName>
    <definedName name="in_TokOut">Inputs!$F$34</definedName>
    <definedName name="in_PriceIn">Inputs!$F$35</definedName>
    <definedName name="in_PriceOut">Inputs!$F$36</definedName>
    <definedName name="in_FX">Inputs!$F$37</definedName>
    <definedName name="in_DirectRun">Inputs!$F$38</definedName>
    <definedName name="in_RunCostItem">Inputs!$F$39</definedName>
    <definedName name="in_Platform">Inputs!$F$40</definedName>
    <definedName name="in_CostDisc">Inputs!$F$42</definedName>
    <definedName name="in_CostEval">Inputs!$F$43</definedName>
    <definedName name="in_CostBuild">Inputs!$F$44</definedName>
    <definedName name="in_CostInt">Inputs!$F$45</definedName>
    <definedName name="in_CostChange">Inputs!$F$46</definedName>
    <definedName name="in_Spread">Inputs!$F$47</definedName>
    <definedName name="in_OneOffTotal">Inputs!$F$48</definedName>
    <definedName name="in_Maint">Inputs!$F$50</definedName>
    <definedName name="in_EvalUpkeep">Inputs!$F$51</definedName>
    <definedName name="in_Licences">Inputs!$F$52</definedName>
    <definedName name="in_OngoingAnnual">Inputs!$F$53</definedName>
    <definedName name="in_Ramp1">Inputs!$F$55</definedName>
    <definedName name="in_Ramp2">Inputs!$F$56</definedName>
    <definedName name="in_Ramp3">Inputs!$F$57</definedName>
    <definedName name="in_Ramp4">Inputs!$F$58</definedName>
    <definedName name="in_Ramp5">Inputs!$F$59</definedName>
    <definedName name="in_Ramp6">Inputs!$F$60</definedName>
    <definedName name="in_Ramp7">Inputs!$F$61</definedName>
    <definedName name="in_Ramp8">Inputs!$F$62</definedName>
    <definedName name="in_Ramp9">Inputs!$F$63</definedName>
    <definedName name="in_Ramp10">Inputs!$F$64</definedName>
    <definedName name="in_Ramp11">Inputs!$F$65</definedName>
    <definedName name="in_Ramp12">Inputs!$F$66</definedName>
    <definedName name="in_DiscountRate">Inputs!$F$68</definedName>
    <definedName name="in_Decision">Inputs!$F$70</definedName>
    <definedName name="in_Success">Inputs!$F$71</definedName>
    <definedName name="in_Kill">Inputs!$F$72</definedName>
    <definedName name="in_ReviewDate">Inputs!$F$73</definedName>
    <definedName name="in_Owner">Inputs!$F$74</definedName>
    <definedName name="in_Risk1">Inputs!$F$75</definedName>
    <definedName name="in_Risk2">Inputs!$F$76</definedName>
    <definedName name="in_Risk3">Inputs!$F$77</definedName>
    <definedName name="ScenarioIdx">Scenarios!$C$5</definedName>
    <definedName name="ItemWord">Model!$R$3</definedName>
    <definedName name="GoLiveQ">Model!$D$52</definedName>
    <definedName name="ModelChecks">Model!$D$123</definedName>
    <definedName name="_xlnm.Print_Area" localSheetId="5">'Board summary'!$A$1:$E$70</definedName>
  </definedNames>
  <calcPr calcId="124519" fullCalcOnLoad="1"/>
</workbook>
</file>

<file path=xl/styles.xml><?xml version="1.0" encoding="utf-8"?>
<styleSheet xmlns="http://schemas.openxmlformats.org/spreadsheetml/2006/main">
  <numFmts count="15">
    <numFmt numFmtId="164" formatCode="0.0%"/>
    <numFmt numFmtId="165" formatCode="#,##0.0"/>
    <numFmt numFmtId="166" formatCode="&quot;£&quot;#,##0.00"/>
    <numFmt numFmtId="167" formatCode="&quot;£&quot;#,##0"/>
    <numFmt numFmtId="168" formatCode="&quot;$&quot;#,##0.00"/>
    <numFmt numFmtId="169" formatCode="&quot;£&quot;#,##0.000"/>
    <numFmt numFmtId="170" formatCode="&quot;£&quot;#,##0.000;[Red](&quot;£&quot;#,##0.000);&quot;-&quot;"/>
    <numFmt numFmtId="171" formatCode="&quot;£&quot;#,##0;[Red](&quot;£&quot;#,##0);&quot;-&quot;"/>
    <numFmt numFmtId="172" formatCode="+0.0%;-0.0%;0.0%"/>
    <numFmt numFmtId="173" formatCode="&quot;£&quot;#,##0.00;[Red](&quot;£&quot;#,##0.00);&quot;-&quot;"/>
    <numFmt numFmtId="174" formatCode="0.000"/>
    <numFmt numFmtId="175" formatCode="0.0%;[Red]-0.0%;&quot;-&quot;"/>
    <numFmt numFmtId="176" formatCode="0&quot; months&quot;"/>
    <numFmt numFmtId="177" formatCode="#,##0;[Red](#,##0);&quot;-&quot;"/>
    <numFmt numFmtId="178" formatCode="0.0;[Red]-0.0;&quot;-&quot;"/>
  </numFmts>
  <fonts count="20">
    <font>
      <name val="Calibri"/>
      <family val="2"/>
      <color theme="1"/>
      <sz val="11"/>
      <scheme val="minor"/>
    </font>
    <font>
      <name val="Arial"/>
      <sz val="10"/>
    </font>
    <font>
      <name val="Arial"/>
      <b val="1"/>
      <color rgb="00FFFFFF"/>
      <sz val="16"/>
    </font>
    <font>
      <name val="Arial"/>
      <color rgb="00000000"/>
      <sz val="10"/>
    </font>
    <font>
      <name val="Arial"/>
      <b val="1"/>
      <color rgb="000A1B2E"/>
      <sz val="10"/>
    </font>
    <font>
      <name val="Arial"/>
      <b val="1"/>
      <color rgb="00FFFFFF"/>
      <sz val="11"/>
    </font>
    <font>
      <name val="Arial"/>
      <b val="1"/>
      <color rgb="00000000"/>
      <sz val="10"/>
    </font>
    <font>
      <name val="Arial"/>
      <color rgb="000000FF"/>
      <sz val="10"/>
    </font>
    <font>
      <name val="Arial"/>
      <color rgb="00555555"/>
      <sz val="9"/>
    </font>
    <font>
      <name val="Arial"/>
      <color rgb="00008000"/>
      <sz val="10"/>
    </font>
    <font>
      <name val="Arial"/>
      <b val="1"/>
      <color rgb="00C00000"/>
      <sz val="10"/>
    </font>
    <font>
      <name val="Arial"/>
      <i val="1"/>
      <color rgb="00555555"/>
      <sz val="9"/>
    </font>
    <font>
      <name val="Arial"/>
      <b val="1"/>
      <color rgb="00FFFFFF"/>
      <sz val="10"/>
    </font>
    <font>
      <name val="Arial"/>
      <color rgb="00FFFFFF"/>
      <sz val="9"/>
    </font>
    <font>
      <name val="Arial"/>
      <b val="1"/>
      <color rgb="000A1B2E"/>
      <sz val="18"/>
    </font>
    <font>
      <name val="Arial"/>
      <b val="1"/>
      <color rgb="00FFFFFF"/>
      <sz val="20"/>
    </font>
    <font>
      <name val="Arial"/>
      <b val="1"/>
      <color rgb="00DFAE4E"/>
      <sz val="10"/>
    </font>
    <font>
      <name val="Arial"/>
      <b val="1"/>
      <color rgb="000A1B2E"/>
      <sz val="13"/>
    </font>
    <font>
      <name val="Arial"/>
      <b val="1"/>
      <color rgb="000A1B2E"/>
      <sz val="10"/>
      <u val="single"/>
    </font>
    <font>
      <name val="Arial"/>
      <b val="1"/>
      <color rgb="00A87A22"/>
      <sz val="10"/>
      <u val="single"/>
    </font>
  </fonts>
  <fills count="7">
    <fill>
      <patternFill/>
    </fill>
    <fill>
      <patternFill patternType="gray125"/>
    </fill>
    <fill>
      <patternFill patternType="solid">
        <fgColor rgb="000A1B2E"/>
      </patternFill>
    </fill>
    <fill>
      <patternFill patternType="solid">
        <fgColor rgb="00F4F1EA"/>
      </patternFill>
    </fill>
    <fill>
      <patternFill patternType="solid">
        <fgColor rgb="00FBEFD3"/>
      </patternFill>
    </fill>
    <fill>
      <patternFill patternType="solid">
        <fgColor rgb="00E9EEF4"/>
      </patternFill>
    </fill>
    <fill>
      <patternFill patternType="solid">
        <fgColor rgb="00F6D5D1"/>
      </patternFill>
    </fill>
  </fills>
  <borders count="8">
    <border>
      <left/>
      <right/>
      <top/>
      <bottom/>
      <diagonal/>
    </border>
    <border>
      <left style="thin">
        <color rgb="00C9C2B2"/>
      </left>
      <right style="thin">
        <color rgb="00C9C2B2"/>
      </right>
      <top style="thin">
        <color rgb="00C9C2B2"/>
      </top>
      <bottom style="thin">
        <color rgb="00C9C2B2"/>
      </bottom>
    </border>
    <border>
      <left/>
      <right/>
      <top style="thin">
        <color rgb="00C9C2B2"/>
      </top>
      <bottom/>
      <diagonal/>
    </border>
    <border>
      <left/>
      <right style="thin">
        <color rgb="00C9C2B2"/>
      </right>
      <top style="thin">
        <color rgb="00C9C2B2"/>
      </top>
      <bottom/>
      <diagonal/>
    </border>
    <border>
      <left/>
      <right style="thin">
        <color rgb="00C9C2B2"/>
      </right>
      <top style="thin">
        <color rgb="00C9C2B2"/>
      </top>
      <bottom style="thin">
        <color rgb="00C9C2B2"/>
      </bottom>
      <diagonal/>
    </border>
    <border>
      <top style="medium">
        <color rgb="000A1B2E"/>
      </top>
    </border>
    <border/>
    <border>
      <left/>
      <right/>
      <top style="thin">
        <color rgb="00C9C2B2"/>
      </top>
      <bottom style="thin">
        <color rgb="00C9C2B2"/>
      </bottom>
      <diagonal/>
    </border>
  </borders>
  <cellStyleXfs count="1">
    <xf numFmtId="0" fontId="1" fillId="0" borderId="0"/>
  </cellStyleXfs>
  <cellXfs count="204">
    <xf numFmtId="0" fontId="0" fillId="0" borderId="0" pivotButton="0" quotePrefix="0" xfId="0"/>
    <xf numFmtId="0" fontId="15" fillId="2" borderId="0" applyAlignment="1" pivotButton="0" quotePrefix="0" xfId="0">
      <alignment vertical="center"/>
    </xf>
    <xf numFmtId="0" fontId="0" fillId="2" borderId="0" pivotButton="0" quotePrefix="0" xfId="0"/>
    <xf numFmtId="0" fontId="16" fillId="2" borderId="0" applyAlignment="1" pivotButton="0" quotePrefix="0" xfId="0">
      <alignment vertical="center"/>
    </xf>
    <xf numFmtId="0" fontId="17" fillId="0" borderId="0" applyAlignment="1" pivotButton="0" quotePrefix="0" xfId="0">
      <alignment vertical="top" wrapText="1"/>
    </xf>
    <xf numFmtId="0" fontId="3" fillId="0" borderId="0" applyAlignment="1" pivotButton="0" quotePrefix="0" xfId="0">
      <alignment vertical="top" wrapText="1"/>
    </xf>
    <xf numFmtId="0" fontId="4" fillId="3" borderId="0" applyAlignment="1" pivotButton="0" quotePrefix="0" xfId="0">
      <alignment vertical="top" wrapText="1"/>
    </xf>
    <xf numFmtId="0" fontId="0" fillId="3" borderId="0" pivotButton="0" quotePrefix="0" xfId="0"/>
    <xf numFmtId="0" fontId="5" fillId="2" borderId="0" applyAlignment="1" pivotButton="0" quotePrefix="0" xfId="0">
      <alignment vertical="center"/>
    </xf>
    <xf numFmtId="0" fontId="6" fillId="0" borderId="0" pivotButton="0" quotePrefix="0" xfId="0"/>
    <xf numFmtId="0" fontId="9" fillId="5" borderId="0" applyAlignment="1" pivotButton="0" quotePrefix="0" xfId="0">
      <alignment horizontal="left"/>
    </xf>
    <xf numFmtId="171" fontId="9" fillId="5" borderId="0" applyAlignment="1" pivotButton="0" quotePrefix="0" xfId="0">
      <alignment horizontal="left"/>
    </xf>
    <xf numFmtId="176" fontId="9" fillId="5" borderId="0" applyAlignment="1" pivotButton="0" quotePrefix="0" xfId="0">
      <alignment horizontal="left"/>
    </xf>
    <xf numFmtId="0" fontId="6" fillId="5" borderId="0" applyAlignment="1" pivotButton="0" quotePrefix="0" xfId="0">
      <alignment horizontal="left"/>
    </xf>
    <xf numFmtId="0" fontId="4" fillId="0" borderId="0" applyAlignment="1" pivotButton="0" quotePrefix="0" xfId="0">
      <alignment vertical="top"/>
    </xf>
    <xf numFmtId="0" fontId="7" fillId="4" borderId="1" applyAlignment="1" pivotButton="0" quotePrefix="0" xfId="0">
      <alignment horizontal="center"/>
    </xf>
    <xf numFmtId="0" fontId="3" fillId="0" borderId="1" applyAlignment="1" pivotButton="0" quotePrefix="0" xfId="0">
      <alignment horizontal="center"/>
    </xf>
    <xf numFmtId="0" fontId="9" fillId="0" borderId="1" applyAlignment="1" pivotButton="0" quotePrefix="0" xfId="0">
      <alignment horizontal="center"/>
    </xf>
    <xf numFmtId="0" fontId="6" fillId="5" borderId="1" applyAlignment="1" pivotButton="0" quotePrefix="0" xfId="0">
      <alignment horizontal="center"/>
    </xf>
    <xf numFmtId="0" fontId="10" fillId="6" borderId="1" applyAlignment="1" pivotButton="0" quotePrefix="0" xfId="0">
      <alignment horizontal="center"/>
    </xf>
    <xf numFmtId="0" fontId="4" fillId="0" borderId="0" applyAlignment="1" pivotButton="0" quotePrefix="0" xfId="0">
      <alignment vertical="top" wrapText="1"/>
    </xf>
    <xf numFmtId="0" fontId="18" fillId="0" borderId="0" pivotButton="0" quotePrefix="0" xfId="0"/>
    <xf numFmtId="0" fontId="19" fillId="0" borderId="0" pivotButton="0" quotePrefix="0" xfId="0"/>
    <xf numFmtId="0" fontId="11" fillId="0" borderId="0" applyAlignment="1" pivotButton="0" quotePrefix="0" xfId="0">
      <alignment vertical="top" wrapText="1"/>
    </xf>
    <xf numFmtId="0" fontId="2" fillId="2" borderId="0" applyAlignment="1" pivotButton="0" quotePrefix="0" xfId="0">
      <alignment vertical="center"/>
    </xf>
    <xf numFmtId="0" fontId="4" fillId="3" borderId="1" applyAlignment="1" pivotButton="0" quotePrefix="0" xfId="0">
      <alignment horizontal="left" vertical="center" wrapText="1"/>
    </xf>
    <xf numFmtId="0" fontId="4" fillId="3" borderId="1" applyAlignment="1" pivotButton="0" quotePrefix="0" xfId="0">
      <alignment horizontal="center" vertical="center" wrapText="1"/>
    </xf>
    <xf numFmtId="0" fontId="7" fillId="4" borderId="1" pivotButton="0" quotePrefix="0" xfId="0"/>
    <xf numFmtId="0" fontId="3" fillId="0" borderId="0" pivotButton="0" quotePrefix="0" xfId="0"/>
    <xf numFmtId="0" fontId="8" fillId="0" borderId="0" applyAlignment="1" pivotButton="0" quotePrefix="0" xfId="0">
      <alignment vertical="top" wrapText="1"/>
    </xf>
    <xf numFmtId="0" fontId="7" fillId="4" borderId="1" applyAlignment="1" pivotButton="0" quotePrefix="0" xfId="0">
      <alignment horizontal="right"/>
    </xf>
    <xf numFmtId="0" fontId="8" fillId="0" borderId="0" applyAlignment="1" pivotButton="0" quotePrefix="0" xfId="0">
      <alignment horizontal="right" vertical="center"/>
    </xf>
    <xf numFmtId="1" fontId="6" fillId="0" borderId="1" pivotButton="0" quotePrefix="0" xfId="0"/>
    <xf numFmtId="0" fontId="3" fillId="0" borderId="0" applyAlignment="1" pivotButton="0" quotePrefix="0" xfId="0">
      <alignment vertical="center" wrapText="1"/>
    </xf>
    <xf numFmtId="49" fontId="7" fillId="4" borderId="1" applyAlignment="1" pivotButton="0" quotePrefix="0" xfId="0">
      <alignment vertical="center" wrapText="1"/>
    </xf>
    <xf numFmtId="0" fontId="8" fillId="0" borderId="0" applyAlignment="1" pivotButton="0" quotePrefix="0" xfId="0">
      <alignment vertical="center"/>
    </xf>
    <xf numFmtId="0" fontId="9" fillId="0" borderId="1" applyAlignment="1" pivotButton="0" quotePrefix="0" xfId="0">
      <alignment vertical="center" wrapText="1"/>
    </xf>
    <xf numFmtId="0" fontId="3" fillId="0" borderId="1" applyAlignment="1" pivotButton="0" quotePrefix="0" xfId="0">
      <alignment vertical="center" wrapText="1"/>
    </xf>
    <xf numFmtId="0" fontId="8" fillId="0" borderId="0" applyAlignment="1" pivotButton="0" quotePrefix="0" xfId="0">
      <alignment vertical="center" wrapText="1"/>
    </xf>
    <xf numFmtId="3" fontId="7" fillId="4" borderId="1" applyAlignment="1" pivotButton="0" quotePrefix="0" xfId="0">
      <alignment vertical="center"/>
    </xf>
    <xf numFmtId="3" fontId="9" fillId="0" borderId="1" applyAlignment="1" pivotButton="0" quotePrefix="0" xfId="0">
      <alignment vertical="center"/>
    </xf>
    <xf numFmtId="3" fontId="3" fillId="0" borderId="1" applyAlignment="1" pivotButton="0" quotePrefix="0" xfId="0">
      <alignment vertical="center"/>
    </xf>
    <xf numFmtId="164" fontId="7" fillId="4" borderId="1" applyAlignment="1" pivotButton="0" quotePrefix="0" xfId="0">
      <alignment vertical="center"/>
    </xf>
    <xf numFmtId="164" fontId="9" fillId="0" borderId="1" applyAlignment="1" pivotButton="0" quotePrefix="0" xfId="0">
      <alignment vertical="center"/>
    </xf>
    <xf numFmtId="164" fontId="3" fillId="0" borderId="1" applyAlignment="1" pivotButton="0" quotePrefix="0" xfId="0">
      <alignment vertical="center"/>
    </xf>
    <xf numFmtId="165" fontId="7" fillId="4" borderId="1" applyAlignment="1" pivotButton="0" quotePrefix="0" xfId="0">
      <alignment vertical="center"/>
    </xf>
    <xf numFmtId="165" fontId="9" fillId="0" borderId="1" applyAlignment="1" pivotButton="0" quotePrefix="0" xfId="0">
      <alignment vertical="center"/>
    </xf>
    <xf numFmtId="165" fontId="3" fillId="0" borderId="1" applyAlignment="1" pivotButton="0" quotePrefix="0" xfId="0">
      <alignment vertical="center"/>
    </xf>
    <xf numFmtId="166" fontId="7" fillId="4" borderId="1" applyAlignment="1" pivotButton="0" quotePrefix="0" xfId="0">
      <alignment vertical="center"/>
    </xf>
    <xf numFmtId="166" fontId="9" fillId="0" borderId="1" applyAlignment="1" pivotButton="0" quotePrefix="0" xfId="0">
      <alignment vertical="center"/>
    </xf>
    <xf numFmtId="166" fontId="3" fillId="0" borderId="1" applyAlignment="1" pivotButton="0" quotePrefix="0" xfId="0">
      <alignment vertical="center"/>
    </xf>
    <xf numFmtId="167" fontId="7" fillId="4" borderId="1" applyAlignment="1" pivotButton="0" quotePrefix="0" xfId="0">
      <alignment vertical="center"/>
    </xf>
    <xf numFmtId="167" fontId="9" fillId="0" borderId="1" applyAlignment="1" pivotButton="0" quotePrefix="0" xfId="0">
      <alignment vertical="center"/>
    </xf>
    <xf numFmtId="167" fontId="3" fillId="0" borderId="1" applyAlignment="1" pivotButton="0" quotePrefix="0" xfId="0">
      <alignment vertical="center"/>
    </xf>
    <xf numFmtId="168" fontId="7" fillId="4" borderId="1" applyAlignment="1" pivotButton="0" quotePrefix="0" xfId="0">
      <alignment vertical="center"/>
    </xf>
    <xf numFmtId="168" fontId="9" fillId="0" borderId="1" applyAlignment="1" pivotButton="0" quotePrefix="0" xfId="0">
      <alignment vertical="center"/>
    </xf>
    <xf numFmtId="168" fontId="3" fillId="0" borderId="1" applyAlignment="1" pivotButton="0" quotePrefix="0" xfId="0">
      <alignment vertical="center"/>
    </xf>
    <xf numFmtId="2" fontId="7" fillId="4" borderId="1" applyAlignment="1" pivotButton="0" quotePrefix="0" xfId="0">
      <alignment vertical="center"/>
    </xf>
    <xf numFmtId="2" fontId="9" fillId="0" borderId="1" applyAlignment="1" pivotButton="0" quotePrefix="0" xfId="0">
      <alignment vertical="center"/>
    </xf>
    <xf numFmtId="2" fontId="3" fillId="0" borderId="1" applyAlignment="1" pivotButton="0" quotePrefix="0" xfId="0">
      <alignment vertical="center"/>
    </xf>
    <xf numFmtId="169" fontId="7" fillId="4" borderId="1" applyAlignment="1" pivotButton="0" quotePrefix="0" xfId="0">
      <alignment vertical="center"/>
    </xf>
    <xf numFmtId="169" fontId="9" fillId="0" borderId="1" applyAlignment="1" pivotButton="0" quotePrefix="0" xfId="0">
      <alignment vertical="center"/>
    </xf>
    <xf numFmtId="169" fontId="3" fillId="0" borderId="1" applyAlignment="1" pivotButton="0" quotePrefix="0" xfId="0">
      <alignment vertical="center"/>
    </xf>
    <xf numFmtId="0" fontId="6" fillId="0" borderId="0" applyAlignment="1" pivotButton="0" quotePrefix="0" xfId="0">
      <alignment vertical="center" wrapText="1"/>
    </xf>
    <xf numFmtId="170" fontId="6" fillId="5" borderId="1" pivotButton="0" quotePrefix="0" xfId="0"/>
    <xf numFmtId="1" fontId="7" fillId="4" borderId="1" applyAlignment="1" pivotButton="0" quotePrefix="0" xfId="0">
      <alignment vertical="center"/>
    </xf>
    <xf numFmtId="1" fontId="9" fillId="0" borderId="1" applyAlignment="1" pivotButton="0" quotePrefix="0" xfId="0">
      <alignment vertical="center"/>
    </xf>
    <xf numFmtId="1" fontId="3" fillId="0" borderId="1" applyAlignment="1" pivotButton="0" quotePrefix="0" xfId="0">
      <alignment vertical="center"/>
    </xf>
    <xf numFmtId="171" fontId="6" fillId="5" borderId="1" pivotButton="0" quotePrefix="0" xfId="0"/>
    <xf numFmtId="9" fontId="7" fillId="4" borderId="1" applyAlignment="1" pivotButton="0" quotePrefix="0" xfId="0">
      <alignment vertical="center"/>
    </xf>
    <xf numFmtId="9" fontId="9" fillId="0" borderId="1" applyAlignment="1" pivotButton="0" quotePrefix="0" xfId="0">
      <alignment vertical="center"/>
    </xf>
    <xf numFmtId="9" fontId="3" fillId="0" borderId="1" applyAlignment="1" pivotButton="0" quotePrefix="0" xfId="0">
      <alignment vertical="center"/>
    </xf>
    <xf numFmtId="49" fontId="7" fillId="4" borderId="1" applyAlignment="1" pivotButton="0" quotePrefix="0" xfId="0">
      <alignment vertical="top" wrapText="1"/>
    </xf>
    <xf numFmtId="0" fontId="9" fillId="0" borderId="1" applyAlignment="1" pivotButton="0" quotePrefix="0" xfId="0">
      <alignment vertical="top"/>
    </xf>
    <xf numFmtId="0" fontId="3" fillId="0" borderId="1" applyAlignment="1" pivotButton="0" quotePrefix="0" xfId="0">
      <alignment vertical="top"/>
    </xf>
    <xf numFmtId="0" fontId="9" fillId="5" borderId="1" applyAlignment="1" pivotButton="0" quotePrefix="0" xfId="0">
      <alignment horizontal="center" vertical="center"/>
    </xf>
    <xf numFmtId="0" fontId="8" fillId="0" borderId="0" pivotButton="0" quotePrefix="0" xfId="0"/>
    <xf numFmtId="1" fontId="3" fillId="0" borderId="0" applyAlignment="1" pivotButton="0" quotePrefix="0" xfId="0">
      <alignment horizontal="center" vertical="center"/>
    </xf>
    <xf numFmtId="0" fontId="3" fillId="0" borderId="0" applyAlignment="1" pivotButton="0" quotePrefix="0" xfId="0">
      <alignment vertical="center"/>
    </xf>
    <xf numFmtId="172" fontId="7" fillId="4" borderId="1" applyAlignment="1" pivotButton="0" quotePrefix="0" xfId="0">
      <alignment horizontal="center" vertical="center"/>
    </xf>
    <xf numFmtId="172" fontId="8" fillId="0" borderId="1" applyAlignment="1" pivotButton="0" quotePrefix="0" xfId="0">
      <alignment horizontal="center" vertical="center"/>
    </xf>
    <xf numFmtId="0" fontId="8" fillId="0" borderId="0" applyAlignment="1" pivotButton="0" quotePrefix="0" xfId="0">
      <alignment horizontal="center" vertical="center"/>
    </xf>
    <xf numFmtId="9" fontId="7" fillId="4" borderId="1" applyAlignment="1" pivotButton="0" quotePrefix="0" xfId="0">
      <alignment horizontal="center" vertical="center"/>
    </xf>
    <xf numFmtId="9" fontId="8" fillId="0" borderId="1" applyAlignment="1" pivotButton="0" quotePrefix="0" xfId="0">
      <alignment horizontal="center" vertical="center"/>
    </xf>
    <xf numFmtId="1" fontId="7" fillId="4" borderId="1" applyAlignment="1" pivotButton="0" quotePrefix="0" xfId="0">
      <alignment horizontal="center" vertical="center"/>
    </xf>
    <xf numFmtId="1" fontId="8" fillId="0" borderId="1" applyAlignment="1" pivotButton="0" quotePrefix="0" xfId="0">
      <alignment horizontal="center" vertical="center"/>
    </xf>
    <xf numFmtId="0" fontId="11" fillId="0" borderId="0" pivotButton="0" quotePrefix="0" xfId="0"/>
    <xf numFmtId="164" fontId="3" fillId="0" borderId="1" applyAlignment="1" pivotButton="0" quotePrefix="0" xfId="0">
      <alignment horizontal="center" vertical="center"/>
    </xf>
    <xf numFmtId="164" fontId="9" fillId="0" borderId="1" applyAlignment="1" pivotButton="0" quotePrefix="0" xfId="0">
      <alignment horizontal="center" vertical="center"/>
    </xf>
    <xf numFmtId="164" fontId="6" fillId="5" borderId="1" applyAlignment="1" pivotButton="0" quotePrefix="0" xfId="0">
      <alignment horizontal="center" vertical="center"/>
    </xf>
    <xf numFmtId="165" fontId="3" fillId="0" borderId="1" applyAlignment="1" pivotButton="0" quotePrefix="0" xfId="0">
      <alignment horizontal="center" vertical="center"/>
    </xf>
    <xf numFmtId="165" fontId="9" fillId="0" borderId="1" applyAlignment="1" pivotButton="0" quotePrefix="0" xfId="0">
      <alignment horizontal="center" vertical="center"/>
    </xf>
    <xf numFmtId="165" fontId="6" fillId="5" borderId="1" applyAlignment="1" pivotButton="0" quotePrefix="0" xfId="0">
      <alignment horizontal="center" vertical="center"/>
    </xf>
    <xf numFmtId="9" fontId="3" fillId="0" borderId="1" applyAlignment="1" pivotButton="0" quotePrefix="0" xfId="0">
      <alignment horizontal="center" vertical="center"/>
    </xf>
    <xf numFmtId="9" fontId="6" fillId="5" borderId="1" applyAlignment="1" pivotButton="0" quotePrefix="0" xfId="0">
      <alignment horizontal="center" vertical="center"/>
    </xf>
    <xf numFmtId="1" fontId="3" fillId="0" borderId="1" applyAlignment="1" pivotButton="0" quotePrefix="0" xfId="0">
      <alignment horizontal="center" vertical="center"/>
    </xf>
    <xf numFmtId="1" fontId="6" fillId="5" borderId="1" applyAlignment="1" pivotButton="0" quotePrefix="0" xfId="0">
      <alignment horizontal="center" vertical="center"/>
    </xf>
    <xf numFmtId="170" fontId="3" fillId="0" borderId="1" applyAlignment="1" pivotButton="0" quotePrefix="0" xfId="0">
      <alignment horizontal="center" vertical="center"/>
    </xf>
    <xf numFmtId="170" fontId="9" fillId="0" borderId="1" applyAlignment="1" pivotButton="0" quotePrefix="0" xfId="0">
      <alignment horizontal="center" vertical="center"/>
    </xf>
    <xf numFmtId="170" fontId="6" fillId="5" borderId="1" applyAlignment="1" pivotButton="0" quotePrefix="0" xfId="0">
      <alignment horizontal="center" vertical="center"/>
    </xf>
    <xf numFmtId="171" fontId="3" fillId="0" borderId="1" applyAlignment="1" pivotButton="0" quotePrefix="0" xfId="0">
      <alignment horizontal="center" vertical="center"/>
    </xf>
    <xf numFmtId="171" fontId="9" fillId="0" borderId="1" applyAlignment="1" pivotButton="0" quotePrefix="0" xfId="0">
      <alignment horizontal="center" vertical="center"/>
    </xf>
    <xf numFmtId="171" fontId="6" fillId="5" borderId="1" applyAlignment="1" pivotButton="0" quotePrefix="0" xfId="0">
      <alignment horizontal="center" vertical="center"/>
    </xf>
    <xf numFmtId="171" fontId="9" fillId="0" borderId="1" applyAlignment="1" pivotButton="0" quotePrefix="0" xfId="0">
      <alignment horizontal="right" vertical="center"/>
    </xf>
    <xf numFmtId="171" fontId="9" fillId="5" borderId="1" applyAlignment="1" pivotButton="0" quotePrefix="0" xfId="0">
      <alignment horizontal="right" vertical="center"/>
    </xf>
    <xf numFmtId="175" fontId="9" fillId="0" borderId="1" applyAlignment="1" pivotButton="0" quotePrefix="0" xfId="0">
      <alignment horizontal="right" vertical="center"/>
    </xf>
    <xf numFmtId="175" fontId="9" fillId="5" borderId="1" applyAlignment="1" pivotButton="0" quotePrefix="0" xfId="0">
      <alignment horizontal="right" vertical="center"/>
    </xf>
    <xf numFmtId="176" fontId="9" fillId="0" borderId="1" applyAlignment="1" pivotButton="0" quotePrefix="0" xfId="0">
      <alignment horizontal="right" vertical="center"/>
    </xf>
    <xf numFmtId="176" fontId="9" fillId="5" borderId="1" applyAlignment="1" pivotButton="0" quotePrefix="0" xfId="0">
      <alignment horizontal="right" vertical="center"/>
    </xf>
    <xf numFmtId="178" fontId="9" fillId="0" borderId="1" applyAlignment="1" pivotButton="0" quotePrefix="0" xfId="0">
      <alignment horizontal="right" vertical="center"/>
    </xf>
    <xf numFmtId="178" fontId="9" fillId="5" borderId="1" applyAlignment="1" pivotButton="0" quotePrefix="0" xfId="0">
      <alignment horizontal="right" vertical="center"/>
    </xf>
    <xf numFmtId="173" fontId="9" fillId="0" borderId="1" applyAlignment="1" pivotButton="0" quotePrefix="0" xfId="0">
      <alignment horizontal="right" vertical="center"/>
    </xf>
    <xf numFmtId="173" fontId="9" fillId="5" borderId="1" applyAlignment="1" pivotButton="0" quotePrefix="0" xfId="0">
      <alignment horizontal="right" vertical="center"/>
    </xf>
    <xf numFmtId="171" fontId="3" fillId="0" borderId="1" applyAlignment="1" pivotButton="0" quotePrefix="0" xfId="0">
      <alignment horizontal="right" vertical="center"/>
    </xf>
    <xf numFmtId="171" fontId="6" fillId="5" borderId="1" applyAlignment="1" pivotButton="0" quotePrefix="0" xfId="0">
      <alignment horizontal="right" vertical="center"/>
    </xf>
    <xf numFmtId="175" fontId="3" fillId="0" borderId="1" applyAlignment="1" pivotButton="0" quotePrefix="0" xfId="0">
      <alignment horizontal="right" vertical="center"/>
    </xf>
    <xf numFmtId="175" fontId="6" fillId="5" borderId="1" applyAlignment="1" pivotButton="0" quotePrefix="0" xfId="0">
      <alignment horizontal="right" vertical="center"/>
    </xf>
    <xf numFmtId="176" fontId="3" fillId="0" borderId="1" applyAlignment="1" pivotButton="0" quotePrefix="0" xfId="0">
      <alignment horizontal="right" vertical="center"/>
    </xf>
    <xf numFmtId="176" fontId="6" fillId="5" borderId="1" applyAlignment="1" pivotButton="0" quotePrefix="0" xfId="0">
      <alignment horizontal="right" vertical="center"/>
    </xf>
    <xf numFmtId="177" fontId="3" fillId="0" borderId="1" applyAlignment="1" pivotButton="0" quotePrefix="0" xfId="0">
      <alignment horizontal="right" vertical="center"/>
    </xf>
    <xf numFmtId="177" fontId="6" fillId="5" borderId="1" applyAlignment="1" pivotButton="0" quotePrefix="0" xfId="0">
      <alignment horizontal="right" vertical="center"/>
    </xf>
    <xf numFmtId="178" fontId="3" fillId="0" borderId="1" applyAlignment="1" pivotButton="0" quotePrefix="0" xfId="0">
      <alignment horizontal="right" vertical="center"/>
    </xf>
    <xf numFmtId="178" fontId="6" fillId="5" borderId="1" applyAlignment="1" pivotButton="0" quotePrefix="0" xfId="0">
      <alignment horizontal="right" vertical="center"/>
    </xf>
    <xf numFmtId="173" fontId="3" fillId="0" borderId="1" applyAlignment="1" pivotButton="0" quotePrefix="0" xfId="0">
      <alignment horizontal="right" vertical="center"/>
    </xf>
    <xf numFmtId="173" fontId="6" fillId="5" borderId="1" applyAlignment="1" pivotButton="0" quotePrefix="0" xfId="0">
      <alignment horizontal="right" vertical="center"/>
    </xf>
    <xf numFmtId="165" fontId="9" fillId="0" borderId="1" pivotButton="0" quotePrefix="0" xfId="0"/>
    <xf numFmtId="173" fontId="3" fillId="0" borderId="1" pivotButton="0" quotePrefix="0" xfId="0"/>
    <xf numFmtId="173" fontId="6" fillId="0" borderId="1" pivotButton="0" quotePrefix="0" xfId="0"/>
    <xf numFmtId="164" fontId="9" fillId="0" borderId="1" pivotButton="0" quotePrefix="0" xfId="0"/>
    <xf numFmtId="2" fontId="3" fillId="0" borderId="1" pivotButton="0" quotePrefix="0" xfId="0"/>
    <xf numFmtId="170" fontId="3" fillId="0" borderId="1" pivotButton="0" quotePrefix="0" xfId="0"/>
    <xf numFmtId="164" fontId="3" fillId="0" borderId="1" pivotButton="0" quotePrefix="0" xfId="0"/>
    <xf numFmtId="170" fontId="9" fillId="0" borderId="1" pivotButton="0" quotePrefix="0" xfId="0"/>
    <xf numFmtId="170" fontId="6" fillId="0" borderId="1" pivotButton="0" quotePrefix="0" xfId="0"/>
    <xf numFmtId="1" fontId="8" fillId="0" borderId="0" applyAlignment="1" pivotButton="0" quotePrefix="0" xfId="0">
      <alignment horizontal="center" vertical="center"/>
    </xf>
    <xf numFmtId="3" fontId="3" fillId="0" borderId="0" pivotButton="0" quotePrefix="0" xfId="0"/>
    <xf numFmtId="3" fontId="6" fillId="0" borderId="0" pivotButton="0" quotePrefix="0" xfId="0"/>
    <xf numFmtId="9" fontId="9" fillId="0" borderId="0" pivotButton="0" quotePrefix="0" xfId="0"/>
    <xf numFmtId="9" fontId="3" fillId="0" borderId="0" pivotButton="0" quotePrefix="0" xfId="0"/>
    <xf numFmtId="174" fontId="3" fillId="0" borderId="0" pivotButton="0" quotePrefix="0" xfId="0"/>
    <xf numFmtId="171" fontId="3" fillId="0" borderId="0" pivotButton="0" quotePrefix="0" xfId="0"/>
    <xf numFmtId="171" fontId="6" fillId="0" borderId="0" pivotButton="0" quotePrefix="0" xfId="0"/>
    <xf numFmtId="9" fontId="6" fillId="0" borderId="0" pivotButton="0" quotePrefix="0" xfId="0"/>
    <xf numFmtId="0" fontId="6" fillId="0" borderId="5" pivotButton="0" quotePrefix="0" xfId="0"/>
    <xf numFmtId="0" fontId="8" fillId="0" borderId="5" pivotButton="0" quotePrefix="0" xfId="0"/>
    <xf numFmtId="171" fontId="6" fillId="0" borderId="5" pivotButton="0" quotePrefix="0" xfId="0"/>
    <xf numFmtId="0" fontId="0" fillId="0" borderId="5" pivotButton="0" quotePrefix="0" xfId="0"/>
    <xf numFmtId="0" fontId="6" fillId="0" borderId="6" pivotButton="0" quotePrefix="0" xfId="0"/>
    <xf numFmtId="0" fontId="8" fillId="0" borderId="6" pivotButton="0" quotePrefix="0" xfId="0"/>
    <xf numFmtId="171" fontId="6" fillId="0" borderId="6" pivotButton="0" quotePrefix="0" xfId="0"/>
    <xf numFmtId="0" fontId="0" fillId="0" borderId="6" pivotButton="0" quotePrefix="0" xfId="0"/>
    <xf numFmtId="165" fontId="8" fillId="0" borderId="0" pivotButton="0" quotePrefix="0" xfId="0"/>
    <xf numFmtId="0" fontId="6" fillId="0" borderId="1" applyAlignment="1" pivotButton="0" quotePrefix="0" xfId="0">
      <alignment horizontal="center" vertical="center"/>
    </xf>
    <xf numFmtId="0" fontId="6" fillId="5" borderId="1" applyAlignment="1" pivotButton="0" quotePrefix="0" xfId="0">
      <alignment horizontal="center" vertical="center"/>
    </xf>
    <xf numFmtId="0" fontId="0" fillId="0" borderId="7" pivotButton="0" quotePrefix="0" xfId="0"/>
    <xf numFmtId="0" fontId="0" fillId="0" borderId="4" pivotButton="0" quotePrefix="0" xfId="0"/>
    <xf numFmtId="164" fontId="9" fillId="0" borderId="1" applyAlignment="1" pivotButton="0" quotePrefix="0" xfId="0">
      <alignment horizontal="right" vertical="center"/>
    </xf>
    <xf numFmtId="164" fontId="6" fillId="5" borderId="1" applyAlignment="1" pivotButton="0" quotePrefix="0" xfId="0">
      <alignment horizontal="right" vertical="center"/>
    </xf>
    <xf numFmtId="0" fontId="8" fillId="0" borderId="1" applyAlignment="1" pivotButton="0" quotePrefix="0" xfId="0">
      <alignment horizontal="center" vertical="center"/>
    </xf>
    <xf numFmtId="165" fontId="9" fillId="0" borderId="1" applyAlignment="1" pivotButton="0" quotePrefix="0" xfId="0">
      <alignment horizontal="right" vertical="center"/>
    </xf>
    <xf numFmtId="165" fontId="6" fillId="5" borderId="1" applyAlignment="1" pivotButton="0" quotePrefix="0" xfId="0">
      <alignment horizontal="right" vertical="center"/>
    </xf>
    <xf numFmtId="9" fontId="9" fillId="0" borderId="1" applyAlignment="1" pivotButton="0" quotePrefix="0" xfId="0">
      <alignment horizontal="right" vertical="center"/>
    </xf>
    <xf numFmtId="9" fontId="6" fillId="5" borderId="1" applyAlignment="1" pivotButton="0" quotePrefix="0" xfId="0">
      <alignment horizontal="right" vertical="center"/>
    </xf>
    <xf numFmtId="170" fontId="9" fillId="0" borderId="1" applyAlignment="1" pivotButton="0" quotePrefix="0" xfId="0">
      <alignment horizontal="right" vertical="center"/>
    </xf>
    <xf numFmtId="170" fontId="6" fillId="5" borderId="1" applyAlignment="1" pivotButton="0" quotePrefix="0" xfId="0">
      <alignment horizontal="right" vertical="center"/>
    </xf>
    <xf numFmtId="164" fontId="3" fillId="3" borderId="1" applyAlignment="1" pivotButton="0" quotePrefix="0" xfId="0">
      <alignment horizontal="right" vertical="center"/>
    </xf>
    <xf numFmtId="164" fontId="6" fillId="3" borderId="1" applyAlignment="1" pivotButton="0" quotePrefix="0" xfId="0">
      <alignment horizontal="right" vertical="center"/>
    </xf>
    <xf numFmtId="165" fontId="3" fillId="3" borderId="1" applyAlignment="1" pivotButton="0" quotePrefix="0" xfId="0">
      <alignment horizontal="right" vertical="center"/>
    </xf>
    <xf numFmtId="165" fontId="6" fillId="3" borderId="1" applyAlignment="1" pivotButton="0" quotePrefix="0" xfId="0">
      <alignment horizontal="right" vertical="center"/>
    </xf>
    <xf numFmtId="9" fontId="3" fillId="3" borderId="1" applyAlignment="1" pivotButton="0" quotePrefix="0" xfId="0">
      <alignment horizontal="right" vertical="center"/>
    </xf>
    <xf numFmtId="9" fontId="6" fillId="3" borderId="1" applyAlignment="1" pivotButton="0" quotePrefix="0" xfId="0">
      <alignment horizontal="right" vertical="center"/>
    </xf>
    <xf numFmtId="170" fontId="3" fillId="3" borderId="1" applyAlignment="1" pivotButton="0" quotePrefix="0" xfId="0">
      <alignment horizontal="right" vertical="center"/>
    </xf>
    <xf numFmtId="170" fontId="6" fillId="3" borderId="1" applyAlignment="1" pivotButton="0" quotePrefix="0" xfId="0">
      <alignment horizontal="right" vertical="center"/>
    </xf>
    <xf numFmtId="171" fontId="6" fillId="0" borderId="1" applyAlignment="1" pivotButton="0" quotePrefix="0" xfId="0">
      <alignment horizontal="right" vertical="center"/>
    </xf>
    <xf numFmtId="1" fontId="9" fillId="0" borderId="1" applyAlignment="1" pivotButton="0" quotePrefix="0" xfId="0">
      <alignment horizontal="right" vertical="center"/>
    </xf>
    <xf numFmtId="0" fontId="12" fillId="2" borderId="0" applyAlignment="1" pivotButton="0" quotePrefix="0" xfId="0">
      <alignment vertical="center"/>
    </xf>
    <xf numFmtId="0" fontId="13" fillId="2" borderId="0" applyAlignment="1" pivotButton="0" quotePrefix="0" xfId="0">
      <alignment horizontal="right" vertical="center"/>
    </xf>
    <xf numFmtId="0" fontId="14" fillId="0" borderId="0" applyAlignment="1" pivotButton="0" quotePrefix="0" xfId="0">
      <alignment vertical="center"/>
    </xf>
    <xf numFmtId="0" fontId="10" fillId="0" borderId="0" applyAlignment="1" pivotButton="0" quotePrefix="0" xfId="0">
      <alignment vertical="top" wrapText="1"/>
    </xf>
    <xf numFmtId="0" fontId="6" fillId="0" borderId="1" pivotButton="0" quotePrefix="0" xfId="0"/>
    <xf numFmtId="0" fontId="10" fillId="4" borderId="0" applyAlignment="1" pivotButton="0" quotePrefix="0" xfId="0">
      <alignment vertical="top" wrapText="1"/>
    </xf>
    <xf numFmtId="0" fontId="0" fillId="4" borderId="0" pivotButton="0" quotePrefix="0" xfId="0"/>
    <xf numFmtId="0" fontId="4" fillId="3" borderId="0" pivotButton="0" quotePrefix="0" xfId="0"/>
    <xf numFmtId="1" fontId="9" fillId="0" borderId="0" applyAlignment="1" pivotButton="0" quotePrefix="0" xfId="0">
      <alignment horizontal="center" vertical="center"/>
    </xf>
    <xf numFmtId="164" fontId="9" fillId="0" borderId="0" pivotButton="0" quotePrefix="0" xfId="0"/>
    <xf numFmtId="165" fontId="9" fillId="0" borderId="0" pivotButton="0" quotePrefix="0" xfId="0"/>
    <xf numFmtId="1" fontId="9" fillId="0" borderId="0" pivotButton="0" quotePrefix="0" xfId="0"/>
    <xf numFmtId="170" fontId="9" fillId="0" borderId="0" pivotButton="0" quotePrefix="0" xfId="0"/>
    <xf numFmtId="171" fontId="9" fillId="0" borderId="0" pivotButton="0" quotePrefix="0" xfId="0"/>
    <xf numFmtId="2" fontId="3" fillId="0" borderId="0" pivotButton="0" quotePrefix="0" xfId="0"/>
    <xf numFmtId="170" fontId="3" fillId="0" borderId="0" pivotButton="0" quotePrefix="0" xfId="0"/>
    <xf numFmtId="170" fontId="6" fillId="0" borderId="0" pivotButton="0" quotePrefix="0" xfId="0"/>
    <xf numFmtId="171" fontId="6" fillId="5" borderId="0" pivotButton="0" quotePrefix="0" xfId="0"/>
    <xf numFmtId="164" fontId="3" fillId="0" borderId="0" pivotButton="0" quotePrefix="0" xfId="0"/>
    <xf numFmtId="165" fontId="3" fillId="0" borderId="0" pivotButton="0" quotePrefix="0" xfId="0"/>
    <xf numFmtId="164" fontId="8" fillId="0" borderId="0" pivotButton="0" quotePrefix="0" xfId="0"/>
    <xf numFmtId="164" fontId="6" fillId="5" borderId="0" pivotButton="0" quotePrefix="0" xfId="0"/>
    <xf numFmtId="0" fontId="3" fillId="0" borderId="0" applyAlignment="1" pivotButton="0" quotePrefix="0" xfId="0">
      <alignment horizontal="center" vertical="center"/>
    </xf>
    <xf numFmtId="165" fontId="6" fillId="5" borderId="0" pivotButton="0" quotePrefix="0" xfId="0"/>
    <xf numFmtId="9" fontId="8" fillId="0" borderId="0" pivotButton="0" quotePrefix="0" xfId="0"/>
    <xf numFmtId="9" fontId="6" fillId="5" borderId="0" pivotButton="0" quotePrefix="0" xfId="0"/>
    <xf numFmtId="170" fontId="8" fillId="0" borderId="0" pivotButton="0" quotePrefix="0" xfId="0"/>
    <xf numFmtId="170" fontId="6" fillId="5" borderId="0" pivotButton="0" quotePrefix="0" xfId="0"/>
    <xf numFmtId="171" fontId="8" fillId="0" borderId="0" pivotButton="0" quotePrefix="0" xfId="0"/>
  </cellXfs>
  <cellStyles count="1">
    <cellStyle name="Normal" xfId="0" builtinId="0" hidden="0"/>
  </cellStyles>
  <dxfs count="3">
    <dxf>
      <font>
        <name val="Arial"/>
        <b val="1"/>
        <color rgb="00C00000"/>
      </font>
    </dxf>
    <dxf>
      <font>
        <name val="Arial"/>
        <b val="1"/>
        <color rgb="00C00000"/>
      </font>
      <fill>
        <patternFill patternType="solid">
          <fgColor rgb="00F6D5D1"/>
          <bgColor rgb="00F6D5D1"/>
        </patternFill>
      </fill>
    </dxf>
    <dxf>
      <fill>
        <patternFill patternType="solid">
          <fgColor rgb="00F6D5D1"/>
          <bgColor rgb="00F6D5D1"/>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Cumulative cash by quarter</a:t>
            </a:r>
          </a:p>
        </rich>
      </tx>
    </title>
    <plotArea>
      <lineChart>
        <grouping val="standard"/>
        <ser>
          <idx val="0"/>
          <order val="0"/>
          <tx>
            <v>Base</v>
          </tx>
          <spPr>
            <a:ln xmlns:a="http://schemas.openxmlformats.org/drawingml/2006/main" w="28000">
              <a:solidFill>
                <a:srgbClr val="0A1B2E"/>
              </a:solidFill>
              <a:prstDash val="solid"/>
            </a:ln>
          </spPr>
          <marker>
            <symbol val="none"/>
            <spPr>
              <a:ln xmlns:a="http://schemas.openxmlformats.org/drawingml/2006/main">
                <a:prstDash val="solid"/>
              </a:ln>
            </spPr>
          </marker>
          <cat>
            <numRef>
              <f>'Model'!$D$44:$O$44</f>
            </numRef>
          </cat>
          <val>
            <numRef>
              <f>'Model'!$D$69:$O$69</f>
            </numRef>
          </val>
          <smooth val="0"/>
        </ser>
        <ser>
          <idx val="1"/>
          <order val="1"/>
          <tx>
            <v>Low</v>
          </tx>
          <spPr>
            <a:ln xmlns:a="http://schemas.openxmlformats.org/drawingml/2006/main" w="19000">
              <a:solidFill>
                <a:srgbClr val="8C8C8C"/>
              </a:solidFill>
              <a:prstDash val="dash"/>
            </a:ln>
          </spPr>
          <marker>
            <symbol val="none"/>
            <spPr>
              <a:ln xmlns:a="http://schemas.openxmlformats.org/drawingml/2006/main">
                <a:prstDash val="solid"/>
              </a:ln>
            </spPr>
          </marker>
          <cat>
            <numRef>
              <f>'Model'!$D$44:$O$44</f>
            </numRef>
          </cat>
          <val>
            <numRef>
              <f>'Model'!$D$90:$O$90</f>
            </numRef>
          </val>
          <smooth val="0"/>
        </ser>
        <ser>
          <idx val="2"/>
          <order val="2"/>
          <tx>
            <v>High</v>
          </tx>
          <spPr>
            <a:ln xmlns:a="http://schemas.openxmlformats.org/drawingml/2006/main" w="19000">
              <a:solidFill>
                <a:srgbClr val="A87A22"/>
              </a:solidFill>
              <a:prstDash val="dash"/>
            </a:ln>
          </spPr>
          <marker>
            <symbol val="none"/>
            <spPr>
              <a:ln xmlns:a="http://schemas.openxmlformats.org/drawingml/2006/main">
                <a:prstDash val="solid"/>
              </a:ln>
            </spPr>
          </marker>
          <cat>
            <numRef>
              <f>'Model'!$D$44:$O$44</f>
            </numRef>
          </cat>
          <val>
            <numRef>
              <f>'Model'!$D$111:$O$111</f>
            </numRef>
          </val>
          <smooth val="0"/>
        </ser>
        <axId val="10"/>
        <axId val="100"/>
      </lineChart>
      <catAx>
        <axId val="10"/>
        <scaling>
          <orientation val="minMax"/>
        </scaling>
        <delete val="0"/>
        <axPos val="l"/>
        <majorTickMark val="none"/>
        <minorTickMark val="none"/>
        <tickLblPos val="low"/>
        <crossAx val="100"/>
        <lblOffset val="100"/>
      </catAx>
      <valAx>
        <axId val="100"/>
        <scaling>
          <orientation val="minMax"/>
        </scaling>
        <delete val="0"/>
        <axPos val="l"/>
        <numFmt formatCode="&quot;£&quot;#,##0" sourceLinked="0"/>
        <majorTickMark val="none"/>
        <minorTickMark val="none"/>
        <crossAx val="10"/>
      </valAx>
    </plotArea>
    <legend>
      <legendPos val="b"/>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1</col>
      <colOff>0</colOff>
      <row>21</row>
      <rowOff>0</rowOff>
    </from>
    <ext cx="6300000" cy="2592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kisekilabs.com/book-a-call/" TargetMode="External" Id="rId1"/></Relationships>
</file>

<file path=xl/worksheets/_rels/sheet6.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tabColor rgb="000A1B2E"/>
    <outlinePr summaryBelow="1" summaryRight="1"/>
    <pageSetUpPr fitToPage="1"/>
  </sheetPr>
  <dimension ref="B1:G52"/>
  <sheetViews>
    <sheetView showGridLines="0" workbookViewId="0">
      <selection activeCell="A1" sqref="A1"/>
    </sheetView>
  </sheetViews>
  <sheetFormatPr baseColWidth="8" defaultRowHeight="15"/>
  <cols>
    <col width="2" customWidth="1" min="1" max="1"/>
    <col width="26" customWidth="1" min="2" max="2"/>
    <col width="18" customWidth="1" min="3" max="3"/>
    <col width="18" customWidth="1" min="4" max="4"/>
    <col width="18" customWidth="1" min="5" max="5"/>
    <col width="18" customWidth="1" min="6" max="6"/>
    <col width="18" customWidth="1" min="7" max="7"/>
    <col width="4" customWidth="1" min="8" max="8"/>
  </cols>
  <sheetData>
    <row r="1" ht="40" customHeight="1">
      <c r="B1" s="1" t="inlineStr">
        <is>
          <t>AI Business Case Calculator</t>
        </is>
      </c>
      <c r="C1" s="2" t="n"/>
      <c r="D1" s="2" t="n"/>
      <c r="E1" s="2" t="n"/>
      <c r="F1" s="2" t="n"/>
      <c r="G1" s="2" t="n"/>
    </row>
    <row r="2" ht="18" customHeight="1">
      <c r="B2" s="3" t="inlineStr">
        <is>
          <t>Kiseki Labs  |  AI that survives contact with production</t>
        </is>
      </c>
      <c r="C2" s="2" t="n"/>
      <c r="D2" s="2" t="n"/>
      <c r="E2" s="2" t="n"/>
      <c r="F2" s="2" t="n"/>
      <c r="G2" s="2" t="n"/>
    </row>
    <row r="4" ht="22" customHeight="1">
      <c r="B4" s="4" t="inlineStr">
        <is>
          <t>Build an honest business case for one AI use case, in about 20 minutes.</t>
        </is>
      </c>
    </row>
    <row r="5" ht="56" customHeight="1">
      <c r="B5" s="5" t="inlineStr">
        <is>
          <t>Most AI ROI calculators assume the AI is always right, nobody checks its work and the running cost is a rounding error. This one includes what decides whether a case survives the board: accuracy on your own data, the time people spend reviewing the AI's work, the cost of errors that slip through, the run cost per item, how quickly adoption really ramps up, and the cost of building the evaluation suite that tells you any of this.</t>
        </is>
      </c>
    </row>
    <row r="6" ht="43" customHeight="1">
      <c r="B6" s="6" t="inlineStr">
        <is>
          <t>This is not a forecast. It is a structured argument. Every number in it is an assumption you can name, defend and test. The point is to show the board which assumptions the case rests on, how far they can move before it breaks, and how the pilot will find out.</t>
        </is>
      </c>
      <c r="C6" s="7" t="n"/>
      <c r="D6" s="7" t="n"/>
      <c r="E6" s="7" t="n"/>
      <c r="F6" s="7" t="n"/>
      <c r="G6" s="7" t="n"/>
    </row>
    <row r="8">
      <c r="B8" s="8" t="inlineStr">
        <is>
          <t>Where your case stands right now</t>
        </is>
      </c>
      <c r="C8" s="2" t="n"/>
      <c r="D8" s="2" t="n"/>
      <c r="E8" s="2" t="n"/>
      <c r="F8" s="2" t="n"/>
      <c r="G8" s="2" t="n"/>
    </row>
    <row r="9">
      <c r="B9" s="9" t="inlineStr">
        <is>
          <t>Numbers in use</t>
        </is>
      </c>
      <c r="C9" s="10" t="str">
        <f>in_RunMode</f>
        <v>Illustrative example</v>
      </c>
    </row>
    <row r="10">
      <c r="B10" s="9" t="inlineStr">
        <is>
          <t>3-year NPV, base case</t>
        </is>
      </c>
      <c r="C10" s="11">
        <f>Model!E8</f>
        <v>113792.449549866</v>
      </c>
    </row>
    <row r="11">
      <c r="B11" s="9" t="inlineStr">
        <is>
          <t>Range (Low to High)</t>
        </is>
      </c>
      <c r="C11" s="10" t="str">
        <f>IF((Model!D8)&lt;0,"-"&amp;in_Currency&amp;TEXT(-(Model!D8),"#,##0"),in_Currency&amp;TEXT(Model!D8,"#,##0"))&amp;"  to  "&amp;IF((Model!F8)&lt;0,"-"&amp;in_Currency&amp;TEXT(-(Model!F8),"#,##0"),in_Currency&amp;TEXT(Model!F8,"#,##0"))</f>
        <v>-£166,679  to  £247,753</v>
      </c>
    </row>
    <row r="12">
      <c r="B12" s="9" t="inlineStr">
        <is>
          <t>Payback, base case</t>
        </is>
      </c>
      <c r="C12" s="12">
        <f>Model!E10</f>
        <v>23.1337127053485</v>
      </c>
    </row>
    <row r="13">
      <c r="B13" s="9" t="inlineStr">
        <is>
          <t>Model checks</t>
        </is>
      </c>
      <c r="C13" s="13" t="str">
        <f>ModelChecks</f>
        <v>All OK</v>
      </c>
    </row>
    <row r="15">
      <c r="B15" s="8" t="inlineStr">
        <is>
          <t>How to use it in 20 minutes</t>
        </is>
      </c>
      <c r="C15" s="2" t="n"/>
      <c r="D15" s="2" t="n"/>
      <c r="E15" s="2" t="n"/>
      <c r="F15" s="2" t="n"/>
      <c r="G15" s="2" t="n"/>
    </row>
    <row r="16" ht="30" customHeight="1">
      <c r="B16" s="14" t="inlineStr">
        <is>
          <t>1.  2 min</t>
        </is>
      </c>
      <c r="C16" s="5" t="inlineStr">
        <is>
          <t>Read the Board summary tab. The illustrative example is switched on, so you can see where you're heading.</t>
        </is>
      </c>
    </row>
    <row r="17" ht="30" customHeight="1">
      <c r="B17" s="14" t="inlineStr">
        <is>
          <t>2.  10 min</t>
        </is>
      </c>
      <c r="C17" s="5" t="inlineStr">
        <is>
          <t>Fill the blue cells in column C of the Inputs tab. Column E shows the example's value as a guide, and column G says where to find each number.</t>
        </is>
      </c>
    </row>
    <row r="18" ht="30" customHeight="1">
      <c r="B18" s="14" t="inlineStr">
        <is>
          <t>3.  1 min</t>
        </is>
      </c>
      <c r="C18" s="5" t="inlineStr">
        <is>
          <t>Switch Inputs, cell C6, from Illustrative example to My numbers. Cell F9 counts the required cells you haven't filled.</t>
        </is>
      </c>
    </row>
    <row r="19" ht="30" customHeight="1">
      <c r="B19" s="14" t="inlineStr">
        <is>
          <t>4.  3 min</t>
        </is>
      </c>
      <c r="C19" s="5" t="inlineStr">
        <is>
          <t>On the Scenarios tab, set how far each uncertain assumption could move. The defaults are a reasonable start.</t>
        </is>
      </c>
    </row>
    <row r="20" ht="30" customHeight="1">
      <c r="B20" s="14" t="inlineStr">
        <is>
          <t>5.  4 min</t>
        </is>
      </c>
      <c r="C20" s="5" t="inlineStr">
        <is>
          <t>Read the Sensitivity tab. Then write the decision, the success metric and the kill criterion at the bottom of Inputs, and print the Board summary (it fits one A4 page).</t>
        </is>
      </c>
    </row>
    <row r="22">
      <c r="B22" s="8" t="inlineStr">
        <is>
          <t>Colour key</t>
        </is>
      </c>
      <c r="C22" s="2" t="n"/>
      <c r="D22" s="2" t="n"/>
      <c r="E22" s="2" t="n"/>
      <c r="F22" s="2" t="n"/>
      <c r="G22" s="2" t="n"/>
    </row>
    <row r="23" ht="16" customHeight="1">
      <c r="B23" s="15" t="inlineStr">
        <is>
          <t>1,000</t>
        </is>
      </c>
      <c r="C23" s="5" t="inlineStr">
        <is>
          <t>Blue on light amber: an input. Type your number here.</t>
        </is>
      </c>
    </row>
    <row r="24" ht="16" customHeight="1">
      <c r="B24" s="16" t="inlineStr">
        <is>
          <t>1,000</t>
        </is>
      </c>
      <c r="C24" s="5" t="inlineStr">
        <is>
          <t>Black: a calculation. Don't overwrite it.</t>
        </is>
      </c>
    </row>
    <row r="25" ht="16" customHeight="1">
      <c r="B25" s="17" t="inlineStr">
        <is>
          <t>1,000</t>
        </is>
      </c>
      <c r="C25" s="5" t="inlineStr">
        <is>
          <t>Green: a value pulled from another tab.</t>
        </is>
      </c>
    </row>
    <row r="26" ht="16" customHeight="1">
      <c r="B26" s="18" t="inlineStr">
        <is>
          <t>1,000</t>
        </is>
      </c>
      <c r="C26" s="5" t="inlineStr">
        <is>
          <t>Shaded: a key result.</t>
        </is>
      </c>
    </row>
    <row r="27" ht="16" customHeight="1">
      <c r="B27" s="19" t="inlineStr">
        <is>
          <t>CHECK</t>
        </is>
      </c>
      <c r="C27" s="5" t="inlineStr">
        <is>
          <t>A check that has failed. The Model tab lists them.</t>
        </is>
      </c>
    </row>
    <row r="29">
      <c r="B29" s="8" t="inlineStr">
        <is>
          <t>The five numbers that matter most</t>
        </is>
      </c>
      <c r="C29" s="2" t="n"/>
      <c r="D29" s="2" t="n"/>
      <c r="E29" s="2" t="n"/>
      <c r="F29" s="2" t="n"/>
      <c r="G29" s="2" t="n"/>
    </row>
    <row r="30" ht="30" customHeight="1">
      <c r="B30" s="20" t="inlineStr">
        <is>
          <t>1.  Accuracy on your own evaluation set</t>
        </is>
      </c>
      <c r="C30" s="5" t="inlineStr">
        <is>
          <t>Not the vendor's demo and not a public benchmark. If you haven't measured it on your own items, you don't know it yet.</t>
        </is>
      </c>
    </row>
    <row r="31" ht="28" customHeight="1">
      <c r="B31" s="20" t="inlineStr">
        <is>
          <t>2.  Human minutes per item, review included</t>
        </is>
      </c>
      <c r="C31" s="5" t="inlineStr">
        <is>
          <t>Demos flatter this number. Time it during the pilot.</t>
        </is>
      </c>
    </row>
    <row r="32" ht="30" customHeight="1">
      <c r="B32" s="20" t="inlineStr">
        <is>
          <t>3.  The share of freed time that becomes real value</t>
        </is>
      </c>
      <c r="C32" s="5" t="inlineStr">
        <is>
          <t>Hours saved are only money if you avoid hiring, cut overtime or move people to work with a known value.</t>
        </is>
      </c>
    </row>
    <row r="33" ht="28" customHeight="1">
      <c r="B33" s="20" t="inlineStr">
        <is>
          <t>4.  Adoption, and when it arrives</t>
        </is>
      </c>
      <c r="C33" s="5" t="inlineStr">
        <is>
          <t>A quarter's delay costs a quarter of the benefit, while platform and maintenance costs keep running.</t>
        </is>
      </c>
    </row>
    <row r="34" ht="28" customHeight="1">
      <c r="B34" s="20" t="inlineStr">
        <is>
          <t>5.  Run cost per item at production volume</t>
        </is>
      </c>
      <c r="C34" s="5" t="inlineStr">
        <is>
          <t>Calls, tokens, retries and price. Meter it from the first day of the pilot.</t>
        </is>
      </c>
    </row>
    <row r="36">
      <c r="B36" s="8" t="inlineStr">
        <is>
          <t>The tabs</t>
        </is>
      </c>
      <c r="C36" s="2" t="n"/>
      <c r="D36" s="2" t="n"/>
      <c r="E36" s="2" t="n"/>
      <c r="F36" s="2" t="n"/>
      <c r="G36" s="2" t="n"/>
    </row>
    <row r="37" ht="17" customHeight="1">
      <c r="B37" s="21" t="inlineStr">
        <is>
          <t>Inputs</t>
        </is>
      </c>
      <c r="C37" s="5" t="inlineStr">
        <is>
          <t>Everything you can change, in one place, with the example alongside.</t>
        </is>
      </c>
    </row>
    <row r="38" ht="17" customHeight="1">
      <c r="B38" s="21" t="inlineStr">
        <is>
          <t>Scenarios</t>
        </is>
      </c>
      <c r="C38" s="5" t="inlineStr">
        <is>
          <t>How far each uncertain assumption could move: Low, Base and High.</t>
        </is>
      </c>
    </row>
    <row r="39" ht="17" customHeight="1">
      <c r="B39" s="21" t="inlineStr">
        <is>
          <t>Model</t>
        </is>
      </c>
      <c r="C39" s="5" t="inlineStr">
        <is>
          <t>The quarterly model for all three scenarios: benefits, costs, cash, payback, ROI and NPV.</t>
        </is>
      </c>
    </row>
    <row r="40" ht="17" customHeight="1">
      <c r="B40" s="21" t="inlineStr">
        <is>
          <t>Sensitivity</t>
        </is>
      </c>
      <c r="C40" s="5" t="inlineStr">
        <is>
          <t>Break-even values, one-way tables, and the assumptions that move the answer most.</t>
        </is>
      </c>
    </row>
    <row r="41" ht="17" customHeight="1">
      <c r="B41" s="21" t="inlineStr">
        <is>
          <t>Board summary</t>
        </is>
      </c>
      <c r="C41" s="5" t="inlineStr">
        <is>
          <t>One printable page: the decision, the range, what has to be true and how the pilot tests it.</t>
        </is>
      </c>
    </row>
    <row r="42" ht="30" customHeight="1">
      <c r="B42" s="21" t="inlineStr">
        <is>
          <t>Example</t>
        </is>
      </c>
      <c r="C42" s="5" t="inlineStr">
        <is>
          <t>The illustrative example: an onboarding document-verification queue, with the reasoning behind each number.</t>
        </is>
      </c>
    </row>
    <row r="43" ht="17" customHeight="1">
      <c r="B43" s="21" t="inlineStr">
        <is>
          <t>Engine</t>
        </is>
      </c>
      <c r="C43" s="5" t="inlineStr">
        <is>
          <t>Reruns the model for the sensitivity tables. Nothing to edit.</t>
        </is>
      </c>
    </row>
    <row r="45">
      <c r="B45" s="8" t="inlineStr">
        <is>
          <t>What it leaves out</t>
        </is>
      </c>
      <c r="C45" s="2" t="n"/>
      <c r="D45" s="2" t="n"/>
      <c r="E45" s="2" t="n"/>
      <c r="F45" s="2" t="n"/>
      <c r="G45" s="2" t="n"/>
    </row>
    <row r="46" ht="56" customHeight="1">
      <c r="B46" s="5" t="inlineStr">
        <is>
          <t>One use case, three years, by quarter. No tax, depreciation, financing or inflation, and no value placed on what your team learns. Benefits that aren't time or avoided errors, such as faster onboarding or more revenue, aren't modelled: if they matter, argue them alongside this case rather than inside it. Figures are formatted in pounds, but the model works in any currency (see Inputs, cell C8).</t>
        </is>
      </c>
    </row>
    <row r="48">
      <c r="B48" s="8" t="inlineStr">
        <is>
          <t>A second opinion on your numbers</t>
        </is>
      </c>
      <c r="C48" s="2" t="n"/>
      <c r="D48" s="2" t="n"/>
      <c r="E48" s="2" t="n"/>
      <c r="F48" s="2" t="n"/>
      <c r="G48" s="2" t="n"/>
    </row>
    <row r="49" ht="43" customHeight="1">
      <c r="B49" s="5" t="inlineStr">
        <is>
          <t>Kiseki Labs builds AI that survives contact with production, for mid-market and enterprise organisations in the UK and US. Our Opportunity Diagnostic is a fixed-fee, two-to-three-week engagement that ends with a prioritised, costed shortlist of use cases and a business case that survives the board. If you'd like us to pressure-test this one, request an executive briefing.</t>
        </is>
      </c>
    </row>
    <row r="50">
      <c r="B50" s="22" t="inlineStr">
        <is>
          <t>kisekilabs.com/book-a-call/</t>
        </is>
      </c>
    </row>
    <row r="52" ht="15" customHeight="1">
      <c r="B52" s="23" t="inlineStr">
        <is>
          <t>Version 1.0, October 2026. No macros, nothing locked: change anything you like.</t>
        </is>
      </c>
    </row>
  </sheetData>
  <mergeCells count="33">
    <mergeCell ref="C30:G30"/>
    <mergeCell ref="C34:G34"/>
    <mergeCell ref="C24:G24"/>
    <mergeCell ref="C42:G42"/>
    <mergeCell ref="C33:G33"/>
    <mergeCell ref="C26:G26"/>
    <mergeCell ref="C20:G20"/>
    <mergeCell ref="C10:D10"/>
    <mergeCell ref="C16:G16"/>
    <mergeCell ref="C25:G25"/>
    <mergeCell ref="C41:G41"/>
    <mergeCell ref="B49:G49"/>
    <mergeCell ref="C31:G31"/>
    <mergeCell ref="C9:D9"/>
    <mergeCell ref="C40:G40"/>
    <mergeCell ref="B6:G6"/>
    <mergeCell ref="C12:D12"/>
    <mergeCell ref="C43:G43"/>
    <mergeCell ref="B5:G5"/>
    <mergeCell ref="C11:D11"/>
    <mergeCell ref="C27:G27"/>
    <mergeCell ref="B4:G4"/>
    <mergeCell ref="C23:G23"/>
    <mergeCell ref="C39:G39"/>
    <mergeCell ref="C17:G17"/>
    <mergeCell ref="B46:G46"/>
    <mergeCell ref="C32:G32"/>
    <mergeCell ref="C38:G38"/>
    <mergeCell ref="C19:G19"/>
    <mergeCell ref="C37:G37"/>
    <mergeCell ref="C13:D13"/>
    <mergeCell ref="B52:G52"/>
    <mergeCell ref="C18:G18"/>
  </mergeCells>
  <hyperlinks>
    <hyperlink ref="B37" location="'Inputs'!A1"/>
    <hyperlink ref="B38" location="'Scenarios'!A1"/>
    <hyperlink ref="B39" location="'Model'!A1"/>
    <hyperlink ref="B40" location="'Sensitivity'!A1"/>
    <hyperlink ref="B41" location="'Board summary'!A1"/>
    <hyperlink ref="B42" location="'Example'!A1"/>
    <hyperlink ref="B43" location="'Engine'!A1"/>
    <hyperlink xmlns:r="http://schemas.openxmlformats.org/officeDocument/2006/relationships" ref="B50" r:id="rId1"/>
  </hyperlinks>
  <pageMargins left="0.75" right="0.75" top="1" bottom="1" header="0.5" footer="0.5"/>
  <pageSetup orientation="portrait" fitToHeight="0" fitToWidth="1"/>
</worksheet>
</file>

<file path=xl/worksheets/sheet2.xml><?xml version="1.0" encoding="utf-8"?>
<worksheet xmlns="http://schemas.openxmlformats.org/spreadsheetml/2006/main">
  <sheetPr>
    <tabColor rgb="00DFAE4E"/>
    <outlinePr summaryBelow="1" summaryRight="1"/>
    <pageSetUpPr fitToPage="1"/>
  </sheetPr>
  <dimension ref="B1:G77"/>
  <sheetViews>
    <sheetView showGridLines="0" workbookViewId="0">
      <pane xSplit="2" ySplit="4" topLeftCell="C5" activePane="bottomRight" state="frozen"/>
      <selection pane="topRight"/>
      <selection pane="bottomLeft"/>
      <selection pane="bottomRight" activeCell="A1" sqref="A1"/>
    </sheetView>
  </sheetViews>
  <sheetFormatPr baseColWidth="8" defaultRowHeight="15"/>
  <cols>
    <col width="2" customWidth="1" min="1" max="1"/>
    <col width="56" customWidth="1" min="2" max="2"/>
    <col width="20" customWidth="1" min="3" max="3"/>
    <col width="13" customWidth="1" min="4" max="4"/>
    <col width="20" customWidth="1" min="5" max="5"/>
    <col width="20" customWidth="1" min="6" max="6"/>
    <col width="74" customWidth="1" min="7" max="7"/>
  </cols>
  <sheetData>
    <row r="1" ht="30" customHeight="1">
      <c r="B1" s="24" t="inlineStr">
        <is>
          <t>Inputs</t>
        </is>
      </c>
      <c r="C1" s="2" t="n"/>
      <c r="D1" s="2" t="n"/>
      <c r="E1" s="2" t="n"/>
      <c r="F1" s="2" t="n"/>
      <c r="G1" s="2" t="n"/>
    </row>
    <row r="2" ht="17" customHeight="1">
      <c r="B2" s="5" t="inlineStr">
        <is>
          <t>Fill the blue cells in column C with your own numbers. Column E shows the illustrative example as a guide. Column F is what the model is using right now, which depends on the switch in C6. Blank cells count as zero.</t>
        </is>
      </c>
    </row>
    <row r="4" ht="28" customHeight="1">
      <c r="B4" s="25" t="inlineStr">
        <is>
          <t>Input</t>
        </is>
      </c>
      <c r="C4" s="26" t="inlineStr">
        <is>
          <t>Your numbers</t>
        </is>
      </c>
      <c r="D4" s="26" t="inlineStr">
        <is>
          <t>Unit</t>
        </is>
      </c>
      <c r="E4" s="26" t="inlineStr">
        <is>
          <t>Illustrative example</t>
        </is>
      </c>
      <c r="F4" s="26" t="inlineStr">
        <is>
          <t>In use by the model</t>
        </is>
      </c>
      <c r="G4" s="26" t="inlineStr">
        <is>
          <t>What it means and where to find it</t>
        </is>
      </c>
    </row>
    <row r="5">
      <c r="B5" s="8" t="inlineStr">
        <is>
          <t>Settings</t>
        </is>
      </c>
      <c r="C5" s="2" t="n"/>
      <c r="D5" s="2" t="n"/>
      <c r="E5" s="2" t="n"/>
      <c r="F5" s="2" t="n"/>
      <c r="G5" s="2" t="n"/>
    </row>
    <row r="6">
      <c r="B6" s="9" t="inlineStr">
        <is>
          <t>Run the model on</t>
        </is>
      </c>
      <c r="C6" s="27" t="inlineStr">
        <is>
          <t>Illustrative example</t>
        </is>
      </c>
      <c r="D6" s="28" t="inlineStr">
        <is>
          <t>switch</t>
        </is>
      </c>
      <c r="F6" s="28" t="str">
        <f>C6</f>
        <v>Illustrative example</v>
      </c>
      <c r="G6" s="29" t="inlineStr">
        <is>
          <t>Start with the illustrative example. Switch to My numbers once you have filled column C.</t>
        </is>
      </c>
    </row>
    <row r="7" ht="26" customHeight="1">
      <c r="B7" s="9" t="inlineStr">
        <is>
          <t>Scenario to analyse on the Model and Sensitivity tabs</t>
        </is>
      </c>
      <c r="C7" s="27" t="inlineStr">
        <is>
          <t>Base</t>
        </is>
      </c>
      <c r="D7" s="28" t="inlineStr">
        <is>
          <t>switch</t>
        </is>
      </c>
      <c r="F7" s="28" t="str">
        <f>C7</f>
        <v>Base</v>
      </c>
      <c r="G7" s="29" t="inlineStr">
        <is>
          <t>The Board summary always shows Base with the Low to High range. This switch changes the detail on the Model and Sensitivity tabs.</t>
        </is>
      </c>
    </row>
    <row r="8" ht="26" customHeight="1">
      <c r="B8" s="9" t="inlineStr">
        <is>
          <t>Currency symbol used in sentences</t>
        </is>
      </c>
      <c r="C8" s="30" t="inlineStr">
        <is>
          <t>£</t>
        </is>
      </c>
      <c r="D8" s="28" t="inlineStr">
        <is>
          <t>text</t>
        </is>
      </c>
      <c r="F8" s="28" t="str">
        <f>C8</f>
        <v>£</v>
      </c>
      <c r="G8" s="29" t="inlineStr">
        <is>
          <t>Number formats show £. Working in dollars? Enter $ here, then change the cell formats (select the cells, Format Cells, Currency).</t>
        </is>
      </c>
    </row>
    <row r="9">
      <c r="B9" s="9" t="inlineStr">
        <is>
          <t>Required blue cells in column C still blank</t>
        </is>
      </c>
      <c r="D9" s="28" t="inlineStr">
        <is>
          <t>cells</t>
        </is>
      </c>
      <c r="E9" s="31" t="str">
        <f>"of 16"</f>
        <v>of 16</v>
      </c>
      <c r="F9" s="32">
        <f>COUNTBLANK(C14)+COUNTBLANK(C17)+COUNTBLANK(C18)+COUNTBLANK(C19)+COUNTBLANK(C20)+COUNTBLANK(C21)+COUNTBLANK(C23)+COUNTBLANK(C24)+COUNTBLANK(C25)+COUNTBLANK(C26)+COUNTBLANK(C27)+COUNTBLANK(C28)+COUNTBLANK(C29)+COUNTBLANK(C30)+COUNTBLANK(C47)+COUNTBLANK(C68)</f>
        <v>16</v>
      </c>
      <c r="G9" s="29" t="inlineStr">
        <is>
          <t>Blank counts as zero. Fine for a cost you don't have; not fine for volume, minutes or accuracy.</t>
        </is>
      </c>
    </row>
    <row r="10">
      <c r="B10" s="8" t="inlineStr">
        <is>
          <t>The use case</t>
        </is>
      </c>
      <c r="C10" s="2" t="n"/>
      <c r="D10" s="2" t="n"/>
      <c r="E10" s="2" t="n"/>
      <c r="F10" s="2" t="n"/>
      <c r="G10" s="2" t="n"/>
    </row>
    <row r="11" ht="29" customHeight="1">
      <c r="B11" s="33" t="inlineStr">
        <is>
          <t>Use case name</t>
        </is>
      </c>
      <c r="C11" s="34" t="n"/>
      <c r="D11" s="35" t="inlineStr">
        <is>
          <t>text</t>
        </is>
      </c>
      <c r="E11" s="36" t="str">
        <f>IF(LEN(Example!C20)=0,"",Example!C20)</f>
        <v>Onboarding document verification</v>
      </c>
      <c r="F11" s="37" t="str">
        <f>IF(in_RunMode="Illustrative example",E11,IF(LEN(C11)=0,"",C11))</f>
        <v>Onboarding document verification</v>
      </c>
      <c r="G11" s="38" t="inlineStr">
        <is>
          <t>One use case per workbook. If you have three candidates, make three copies.</t>
        </is>
      </c>
    </row>
    <row r="12" ht="16.5" customHeight="1">
      <c r="B12" s="33" t="inlineStr">
        <is>
          <t>What one item is (singular noun)</t>
        </is>
      </c>
      <c r="C12" s="34" t="n"/>
      <c r="D12" s="35" t="inlineStr">
        <is>
          <t>text</t>
        </is>
      </c>
      <c r="E12" s="36" t="str">
        <f>IF(LEN(Example!C21)=0,"",Example!C21)</f>
        <v>application</v>
      </c>
      <c r="F12" s="37" t="str">
        <f>IF(in_RunMode="Illustrative example",E12,IF(LEN(C12)=0,"",C12))</f>
        <v>application</v>
      </c>
      <c r="G12" s="38" t="inlineStr">
        <is>
          <t>Used in sentences on the Board summary, e.g. ticket, invoice, claim, application.</t>
        </is>
      </c>
    </row>
    <row r="13" ht="29" customHeight="1">
      <c r="B13" s="33" t="inlineStr">
        <is>
          <t>Prepared by</t>
        </is>
      </c>
      <c r="C13" s="34" t="n"/>
      <c r="D13" s="35" t="inlineStr">
        <is>
          <t>text</t>
        </is>
      </c>
      <c r="E13" s="36" t="str">
        <f>IF(LEN(Example!C22)=0,"",Example!C22)</f>
        <v>Head of Operations (illustrative)</v>
      </c>
      <c r="F13" s="37" t="str">
        <f>IF(in_RunMode="Illustrative example",E13,IF(LEN(C13)=0,"",C13))</f>
        <v>Head of Operations (illustrative)</v>
      </c>
      <c r="G13" s="38" t="inlineStr">
        <is>
          <t>Name or role. Shown on the Board summary.</t>
        </is>
      </c>
    </row>
    <row r="14" ht="27" customHeight="1">
      <c r="B14" s="33" t="inlineStr">
        <is>
          <t>Items per year today</t>
        </is>
      </c>
      <c r="C14" s="39" t="n"/>
      <c r="D14" s="35" t="inlineStr">
        <is>
          <t>items / year</t>
        </is>
      </c>
      <c r="E14" s="40">
        <f>Example!C23</f>
        <v>12000</v>
      </c>
      <c r="F14" s="41">
        <f>IF(in_RunMode="Illustrative example",N(E14),N(C14))</f>
        <v>12000</v>
      </c>
      <c r="G14" s="38" t="inlineStr">
        <is>
          <t>Count from your systems for the last 12 months. Only the items this use case would touch.</t>
        </is>
      </c>
    </row>
    <row r="15" ht="16" customHeight="1">
      <c r="B15" s="33" t="inlineStr">
        <is>
          <t>Expected volume growth per year</t>
        </is>
      </c>
      <c r="C15" s="42" t="n"/>
      <c r="D15" s="35" t="inlineStr">
        <is>
          <t>% / year</t>
        </is>
      </c>
      <c r="E15" s="43">
        <f>Example!C24</f>
        <v>0.1</v>
      </c>
      <c r="F15" s="44">
        <f>IF(in_RunMode="Illustrative example",N(E15),N(C15))</f>
        <v>0.1</v>
      </c>
      <c r="G15" s="38" t="inlineStr">
        <is>
          <t>Your plan, not a hope. The case is stronger when volume grows and headcount does not.</t>
        </is>
      </c>
    </row>
    <row r="16">
      <c r="B16" s="8" t="inlineStr">
        <is>
          <t>Today: how the work is done now</t>
        </is>
      </c>
      <c r="C16" s="2" t="n"/>
      <c r="D16" s="2" t="n"/>
      <c r="E16" s="2" t="n"/>
      <c r="F16" s="2" t="n"/>
      <c r="G16" s="2" t="n"/>
    </row>
    <row r="17" ht="27" customHeight="1">
      <c r="B17" s="33" t="inlineStr">
        <is>
          <t>Human minutes per item today</t>
        </is>
      </c>
      <c r="C17" s="45" t="n"/>
      <c r="D17" s="35" t="inlineStr">
        <is>
          <t>minutes</t>
        </is>
      </c>
      <c r="E17" s="46">
        <f>Example!C26</f>
        <v>40</v>
      </c>
      <c r="F17" s="47">
        <f>IF(in_RunMode="Illustrative example",N(E17),N(C17))</f>
        <v>40</v>
      </c>
      <c r="G17" s="38" t="inlineStr">
        <is>
          <t>Time a sample of real items end to end, including the hunting, chasing and rework. Estimates from memory run low.</t>
        </is>
      </c>
    </row>
    <row r="18" ht="27" customHeight="1">
      <c r="B18" s="33" t="inlineStr">
        <is>
          <t>Fully loaded cost per hour of that time</t>
        </is>
      </c>
      <c r="C18" s="48" t="n"/>
      <c r="D18" s="35" t="inlineStr">
        <is>
          <t>£ / hour</t>
        </is>
      </c>
      <c r="E18" s="49">
        <f>Example!C27</f>
        <v>45</v>
      </c>
      <c r="F18" s="50">
        <f>IF(in_RunMode="Illustrative example",N(E18),N(C18))</f>
        <v>45</v>
      </c>
      <c r="G18" s="38" t="inlineStr">
        <is>
          <t>Salary plus employer on-costs, benefits and overheads, per productive hour. Finance will have a standard rate.</t>
        </is>
      </c>
    </row>
    <row r="19" ht="27" customHeight="1">
      <c r="B19" s="33" t="inlineStr">
        <is>
          <t>Share of items today with an error that costs money</t>
        </is>
      </c>
      <c r="C19" s="42" t="n"/>
      <c r="D19" s="35" t="inlineStr">
        <is>
          <t>% of items</t>
        </is>
      </c>
      <c r="E19" s="43">
        <f>Example!C28</f>
        <v>0.03</v>
      </c>
      <c r="F19" s="44">
        <f>IF(in_RunMode="Illustrative example",N(E19),N(C19))</f>
        <v>0.03</v>
      </c>
      <c r="G19" s="38" t="inlineStr">
        <is>
          <t>Errors that escape the process: missed discrepancies, rework after hand-off, complaints, remediation.</t>
        </is>
      </c>
    </row>
    <row r="20" ht="27" customHeight="1">
      <c r="B20" s="33" t="inlineStr">
        <is>
          <t>Average cost of one of those errors</t>
        </is>
      </c>
      <c r="C20" s="51" t="n"/>
      <c r="D20" s="35" t="inlineStr">
        <is>
          <t>£ / error</t>
        </is>
      </c>
      <c r="E20" s="52">
        <f>Example!C29</f>
        <v>300</v>
      </c>
      <c r="F20" s="53">
        <f>IF(in_RunMode="Illustrative example",N(E20),N(C20))</f>
        <v>300</v>
      </c>
      <c r="G20" s="38" t="inlineStr">
        <is>
          <t>Rework, refunds, remediation, write-offs, averaged. If a single error can trigger a regulator, model that case separately.</t>
        </is>
      </c>
    </row>
    <row r="21" ht="27" customHeight="1">
      <c r="B21" s="33" t="inlineStr">
        <is>
          <t>Productive hours per full-time person per year</t>
        </is>
      </c>
      <c r="C21" s="39" t="n"/>
      <c r="D21" s="35" t="inlineStr">
        <is>
          <t>hours / year</t>
        </is>
      </c>
      <c r="E21" s="40">
        <f>Example!C30</f>
        <v>1600</v>
      </c>
      <c r="F21" s="41">
        <f>IF(in_RunMode="Illustrative example",N(E21),N(C21))</f>
        <v>1600</v>
      </c>
      <c r="G21" s="38" t="inlineStr">
        <is>
          <t>Only used to express hours freed as full-time equivalents (FTE). Use your own planning figure.</t>
        </is>
      </c>
    </row>
    <row r="22">
      <c r="B22" s="8" t="inlineStr">
        <is>
          <t>With AI: your base case</t>
        </is>
      </c>
      <c r="C22" s="2" t="n"/>
      <c r="D22" s="2" t="n"/>
      <c r="E22" s="2" t="n"/>
      <c r="F22" s="2" t="n"/>
      <c r="G22" s="2" t="n"/>
    </row>
    <row r="23" ht="29" customHeight="1">
      <c r="B23" s="33" t="inlineStr">
        <is>
          <t>Share of items the AI handles (the rest are escalated to today's process)</t>
        </is>
      </c>
      <c r="C23" s="42" t="n"/>
      <c r="D23" s="35" t="inlineStr">
        <is>
          <t>% of items</t>
        </is>
      </c>
      <c r="E23" s="43">
        <f>Example!C32</f>
        <v>0.8</v>
      </c>
      <c r="F23" s="44">
        <f>IF(in_RunMode="Illustrative example",N(E23),N(C23))</f>
        <v>0.8</v>
      </c>
      <c r="G23" s="38" t="inlineStr">
        <is>
          <t>Escalated items cost today's minutes plus the AI run cost. Be honest about poor scans, edge cases and anything out of scope.</t>
        </is>
      </c>
    </row>
    <row r="24" ht="39" customHeight="1">
      <c r="B24" s="33" t="inlineStr">
        <is>
          <t>AI accuracy on your evaluation set, for the items it handles</t>
        </is>
      </c>
      <c r="C24" s="42" t="n"/>
      <c r="D24" s="35" t="inlineStr">
        <is>
          <t>% correct</t>
        </is>
      </c>
      <c r="E24" s="43">
        <f>Example!C33</f>
        <v>0.92</v>
      </c>
      <c r="F24" s="44">
        <f>IF(in_RunMode="Illustrative example",N(E24),N(C24))</f>
        <v>0.92</v>
      </c>
      <c r="G24" s="38" t="inlineStr">
        <is>
          <t>Measured on a fixed set of real, labelled items from your own process. If you don't have an evaluation set, you don't know this number yet: use a cautious figure and make building the set the first job of the pilot.</t>
        </is>
      </c>
    </row>
    <row r="25" ht="27" customHeight="1">
      <c r="B25" s="33" t="inlineStr">
        <is>
          <t>Share of AI-handled items a person reviews</t>
        </is>
      </c>
      <c r="C25" s="42" t="n"/>
      <c r="D25" s="35" t="inlineStr">
        <is>
          <t>% of items</t>
        </is>
      </c>
      <c r="E25" s="43">
        <f>Example!C34</f>
        <v>1</v>
      </c>
      <c r="F25" s="44">
        <f>IF(in_RunMode="Illustrative example",N(E25),N(C25))</f>
        <v>1</v>
      </c>
      <c r="G25" s="38" t="inlineStr">
        <is>
          <t>100% wherever a person must make the decision. Go lower only if you can live with the errors that slip through unchecked.</t>
        </is>
      </c>
    </row>
    <row r="26" ht="27" customHeight="1">
      <c r="B26" s="33" t="inlineStr">
        <is>
          <t>Human minutes per reviewed item, with AI assistance</t>
        </is>
      </c>
      <c r="C26" s="45" t="n"/>
      <c r="D26" s="35" t="inlineStr">
        <is>
          <t>minutes</t>
        </is>
      </c>
      <c r="E26" s="46">
        <f>Example!C35</f>
        <v>8</v>
      </c>
      <c r="F26" s="47">
        <f>IF(in_RunMode="Illustrative example",N(E26),N(C26))</f>
        <v>8</v>
      </c>
      <c r="G26" s="38" t="inlineStr">
        <is>
          <t>Time to check the AI's work on a typical item. Time it during the pilot; demos flatter this number.</t>
        </is>
      </c>
    </row>
    <row r="27" ht="27" customHeight="1">
      <c r="B27" s="33" t="inlineStr">
        <is>
          <t>Share of AI errors a reviewer catches</t>
        </is>
      </c>
      <c r="C27" s="42" t="n"/>
      <c r="D27" s="35" t="inlineStr">
        <is>
          <t>% of errors</t>
        </is>
      </c>
      <c r="E27" s="43">
        <f>Example!C36</f>
        <v>0.85</v>
      </c>
      <c r="F27" s="44">
        <f>IF(in_RunMode="Illustrative example",N(E27),N(C27))</f>
        <v>0.85</v>
      </c>
      <c r="G27" s="38" t="inlineStr">
        <is>
          <t>Never 100%. Reviewers who see the AI right most of the time start to trust it. Test it by seeding known errors into the queue.</t>
        </is>
      </c>
    </row>
    <row r="28" ht="16" customHeight="1">
      <c r="B28" s="33" t="inlineStr">
        <is>
          <t>Minutes to correct an AI error that review catches</t>
        </is>
      </c>
      <c r="C28" s="45" t="n"/>
      <c r="D28" s="35" t="inlineStr">
        <is>
          <t>minutes</t>
        </is>
      </c>
      <c r="E28" s="46">
        <f>Example!C37</f>
        <v>15</v>
      </c>
      <c r="F28" s="47">
        <f>IF(in_RunMode="Illustrative example",N(E28),N(C28))</f>
        <v>15</v>
      </c>
      <c r="G28" s="38" t="inlineStr">
        <is>
          <t>If unsure, use today's minutes per item: assume the item is redone by hand.</t>
        </is>
      </c>
    </row>
    <row r="29" ht="27" customHeight="1">
      <c r="B29" s="33" t="inlineStr">
        <is>
          <t>Average cost of an error that slips through after AI</t>
        </is>
      </c>
      <c r="C29" s="51" t="n"/>
      <c r="D29" s="35" t="inlineStr">
        <is>
          <t>£ / error</t>
        </is>
      </c>
      <c r="E29" s="52">
        <f>Example!C38</f>
        <v>300</v>
      </c>
      <c r="F29" s="53">
        <f>IF(in_RunMode="Illustrative example",N(E29),N(C29))</f>
        <v>300</v>
      </c>
      <c r="G29" s="38" t="inlineStr">
        <is>
          <t>Often the same as today. Higher if AI errors are systematic or harder to spot downstream.</t>
        </is>
      </c>
    </row>
    <row r="30" ht="39" customHeight="1">
      <c r="B30" s="33" t="inlineStr">
        <is>
          <t>Share of freed time that becomes real value</t>
        </is>
      </c>
      <c r="C30" s="42" t="n"/>
      <c r="D30" s="35" t="inlineStr">
        <is>
          <t>% of hours</t>
        </is>
      </c>
      <c r="E30" s="43">
        <f>Example!C39</f>
        <v>0.7</v>
      </c>
      <c r="F30" s="44">
        <f>IF(in_RunMode="Illustrative example",N(E30),N(C30))</f>
        <v>0.7</v>
      </c>
      <c r="G30" s="38" t="inlineStr">
        <is>
          <t>Hours saved only become money if you avoid hiring, cut overtime or contractors, or move people to work with a known value. If the time just dissolves into the day, this is close to zero.</t>
        </is>
      </c>
    </row>
    <row r="31">
      <c r="B31" s="8" t="inlineStr">
        <is>
          <t>Run cost: what the AI costs per item</t>
        </is>
      </c>
      <c r="C31" s="2" t="n"/>
      <c r="D31" s="2" t="n"/>
      <c r="E31" s="2" t="n"/>
      <c r="F31" s="2" t="n"/>
      <c r="G31" s="2" t="n"/>
    </row>
    <row r="32" ht="27" customHeight="1">
      <c r="B32" s="33" t="inlineStr">
        <is>
          <t>Model calls per item</t>
        </is>
      </c>
      <c r="C32" s="45" t="n"/>
      <c r="D32" s="35" t="inlineStr">
        <is>
          <t>calls</t>
        </is>
      </c>
      <c r="E32" s="46">
        <f>Example!C41</f>
        <v>6</v>
      </c>
      <c r="F32" s="47">
        <f>IF(in_RunMode="Illustrative example",N(E32),N(C32))</f>
        <v>6</v>
      </c>
      <c r="G32" s="38" t="inlineStr">
        <is>
          <t>Multi-step pipelines and agents make several calls per item: extraction, checks, retries.</t>
        </is>
      </c>
    </row>
    <row r="33" ht="27" customHeight="1">
      <c r="B33" s="33" t="inlineStr">
        <is>
          <t>Input tokens per call</t>
        </is>
      </c>
      <c r="C33" s="39" t="n"/>
      <c r="D33" s="35" t="inlineStr">
        <is>
          <t>tokens</t>
        </is>
      </c>
      <c r="E33" s="40">
        <f>Example!C42</f>
        <v>12000</v>
      </c>
      <c r="F33" s="41">
        <f>IF(in_RunMode="Illustrative example",N(E33),N(C33))</f>
        <v>12000</v>
      </c>
      <c r="G33" s="38" t="inlineStr">
        <is>
          <t>Documents, instructions and context sent to the model. A token is roughly three quarters of a word; scanned pages can cost far more.</t>
        </is>
      </c>
    </row>
    <row r="34" ht="27" customHeight="1">
      <c r="B34" s="33" t="inlineStr">
        <is>
          <t>Output tokens per call</t>
        </is>
      </c>
      <c r="C34" s="39" t="n"/>
      <c r="D34" s="35" t="inlineStr">
        <is>
          <t>tokens</t>
        </is>
      </c>
      <c r="E34" s="40">
        <f>Example!C43</f>
        <v>800</v>
      </c>
      <c r="F34" s="41">
        <f>IF(in_RunMode="Illustrative example",N(E34),N(C34))</f>
        <v>800</v>
      </c>
      <c r="G34" s="38" t="inlineStr">
        <is>
          <t>What the model writes back. Reasoning models also bill for thinking tokens: include them.</t>
        </is>
      </c>
    </row>
    <row r="35" ht="16" customHeight="1">
      <c r="B35" s="33" t="inlineStr">
        <is>
          <t>Price per million input tokens</t>
        </is>
      </c>
      <c r="C35" s="54" t="n"/>
      <c r="D35" s="35" t="inlineStr">
        <is>
          <t>US$</t>
        </is>
      </c>
      <c r="E35" s="55">
        <f>Example!C44</f>
        <v>3</v>
      </c>
      <c r="F35" s="56">
        <f>IF(in_RunMode="Illustrative example",N(E35),N(C35))</f>
        <v>3</v>
      </c>
      <c r="G35" s="38" t="inlineStr">
        <is>
          <t>From your vendor's current rate card. Vendors quote in US dollars.</t>
        </is>
      </c>
    </row>
    <row r="36" ht="16" customHeight="1">
      <c r="B36" s="33" t="inlineStr">
        <is>
          <t>Price per million output tokens</t>
        </is>
      </c>
      <c r="C36" s="54" t="n"/>
      <c r="D36" s="35" t="inlineStr">
        <is>
          <t>US$</t>
        </is>
      </c>
      <c r="E36" s="55">
        <f>Example!C45</f>
        <v>15</v>
      </c>
      <c r="F36" s="56">
        <f>IF(in_RunMode="Illustrative example",N(E36),N(C36))</f>
        <v>15</v>
      </c>
      <c r="G36" s="38" t="inlineStr">
        <is>
          <t>From your vendor's current rate card.</t>
        </is>
      </c>
    </row>
    <row r="37" ht="16" customHeight="1">
      <c r="B37" s="33" t="inlineStr">
        <is>
          <t>Your currency per US$1</t>
        </is>
      </c>
      <c r="C37" s="57" t="n"/>
      <c r="D37" s="35" t="inlineStr">
        <is>
          <t>rate</t>
        </is>
      </c>
      <c r="E37" s="58">
        <f>Example!C46</f>
        <v>0.75</v>
      </c>
      <c r="F37" s="59">
        <f>IF(in_RunMode="Illustrative example",N(E37),N(C37))</f>
        <v>0.75</v>
      </c>
      <c r="G37" s="38" t="inlineStr">
        <is>
          <t>1 if you work in US dollars. Use your finance team's planning rate.</t>
        </is>
      </c>
    </row>
    <row r="38" ht="27" customHeight="1">
      <c r="B38" s="33" t="inlineStr">
        <is>
          <t>Or: known run cost per item (replaces the token calculation)</t>
        </is>
      </c>
      <c r="C38" s="60" t="n"/>
      <c r="D38" s="35" t="inlineStr">
        <is>
          <t>£ / item</t>
        </is>
      </c>
      <c r="E38" s="61">
        <f>Example!C47</f>
        <v>0</v>
      </c>
      <c r="F38" s="62">
        <f>IF(in_RunMode="Illustrative example",N(E38),N(C38))</f>
        <v>0</v>
      </c>
      <c r="G38" s="38" t="inlineStr">
        <is>
          <t>If you already know your cost per item, from a pilot invoice say, enter it here. Leave blank to use the token calculation.</t>
        </is>
      </c>
    </row>
    <row r="39" ht="27" customHeight="1">
      <c r="B39" s="63" t="inlineStr">
        <is>
          <t>Run cost per item used by the model</t>
        </is>
      </c>
      <c r="C39" s="28" t="n"/>
      <c r="D39" s="35" t="inlineStr">
        <is>
          <t>£ / item</t>
        </is>
      </c>
      <c r="E39" s="28" t="n"/>
      <c r="F39" s="64">
        <f>IF(in_DirectRun&gt;0,in_DirectRun,in_Calls*(in_TokIn*in_PriceIn+in_TokOut*in_PriceOut)/1000000*in_FX)</f>
        <v>0.216</v>
      </c>
      <c r="G39" s="38" t="inlineStr">
        <is>
          <t>Calculated: calls x (input tokens x input price + output tokens x output price) / 1,000,000 x exchange rate, unless you entered a known cost above.</t>
        </is>
      </c>
    </row>
    <row r="40" ht="16" customHeight="1">
      <c r="B40" s="33" t="inlineStr">
        <is>
          <t>Platform and hosting cost per month</t>
        </is>
      </c>
      <c r="C40" s="51" t="n"/>
      <c r="D40" s="35" t="inlineStr">
        <is>
          <t>£ / month</t>
        </is>
      </c>
      <c r="E40" s="52">
        <f>Example!C48</f>
        <v>1500</v>
      </c>
      <c r="F40" s="53">
        <f>IF(in_RunMode="Illustrative example",N(E40),N(C40))</f>
        <v>1500</v>
      </c>
      <c r="G40" s="38" t="inlineStr">
        <is>
          <t>Hosting, storage, logging, monitoring. Starts at go-live.</t>
        </is>
      </c>
    </row>
    <row r="41">
      <c r="B41" s="8" t="inlineStr">
        <is>
          <t>One-off costs</t>
        </is>
      </c>
      <c r="C41" s="2" t="n"/>
      <c r="D41" s="2" t="n"/>
      <c r="E41" s="2" t="n"/>
      <c r="F41" s="2" t="n"/>
      <c r="G41" s="2" t="n"/>
    </row>
    <row r="42" ht="16" customHeight="1">
      <c r="B42" s="33" t="inlineStr">
        <is>
          <t>Discovery and business case</t>
        </is>
      </c>
      <c r="C42" s="51" t="n"/>
      <c r="D42" s="35" t="inlineStr">
        <is>
          <t>£</t>
        </is>
      </c>
      <c r="E42" s="52">
        <f>Example!C50</f>
        <v>15000</v>
      </c>
      <c r="F42" s="53">
        <f>IF(in_RunMode="Illustrative example",N(E42),N(C42))</f>
        <v>15000</v>
      </c>
      <c r="G42" s="38" t="inlineStr">
        <is>
          <t>Mapping the process, measuring today's baseline, sizing the case.</t>
        </is>
      </c>
    </row>
    <row r="43" ht="27" customHeight="1">
      <c r="B43" s="33" t="inlineStr">
        <is>
          <t>Evaluation suite build</t>
        </is>
      </c>
      <c r="C43" s="51" t="n"/>
      <c r="D43" s="35" t="inlineStr">
        <is>
          <t>£</t>
        </is>
      </c>
      <c r="E43" s="52">
        <f>Example!C51</f>
        <v>20000</v>
      </c>
      <c r="F43" s="53">
        <f>IF(in_RunMode="Illustrative example",N(E43),N(C43))</f>
        <v>20000</v>
      </c>
      <c r="G43" s="38" t="inlineStr">
        <is>
          <t>Collecting real cases with the correct answers, so you can measure accuracy before go-live and after every change. Skip it and nobody can sign the system off.</t>
        </is>
      </c>
    </row>
    <row r="44" ht="16" customHeight="1">
      <c r="B44" s="33" t="inlineStr">
        <is>
          <t>Engineering build</t>
        </is>
      </c>
      <c r="C44" s="51" t="n"/>
      <c r="D44" s="35" t="inlineStr">
        <is>
          <t>£</t>
        </is>
      </c>
      <c r="E44" s="52">
        <f>Example!C52</f>
        <v>60000</v>
      </c>
      <c r="F44" s="53">
        <f>IF(in_RunMode="Illustrative example",N(E44),N(C44))</f>
        <v>60000</v>
      </c>
      <c r="G44" s="38" t="inlineStr">
        <is>
          <t>Internal time at cost, or the supplier's fee.</t>
        </is>
      </c>
    </row>
    <row r="45" ht="16" customHeight="1">
      <c r="B45" s="33" t="inlineStr">
        <is>
          <t>Integration with existing systems</t>
        </is>
      </c>
      <c r="C45" s="51" t="n"/>
      <c r="D45" s="35" t="inlineStr">
        <is>
          <t>£</t>
        </is>
      </c>
      <c r="E45" s="52">
        <f>Example!C53</f>
        <v>25000</v>
      </c>
      <c r="F45" s="53">
        <f>IF(in_RunMode="Illustrative example",N(E45),N(C45))</f>
        <v>25000</v>
      </c>
      <c r="G45" s="38" t="inlineStr">
        <is>
          <t>Often underestimated. Ask the owners of the systems you need to connect to.</t>
        </is>
      </c>
    </row>
    <row r="46" ht="16" customHeight="1">
      <c r="B46" s="33" t="inlineStr">
        <is>
          <t>Change management and training</t>
        </is>
      </c>
      <c r="C46" s="51" t="n"/>
      <c r="D46" s="35" t="inlineStr">
        <is>
          <t>£</t>
        </is>
      </c>
      <c r="E46" s="52">
        <f>Example!C54</f>
        <v>10000</v>
      </c>
      <c r="F46" s="53">
        <f>IF(in_RunMode="Illustrative example",N(E46),N(C46))</f>
        <v>10000</v>
      </c>
      <c r="G46" s="38" t="inlineStr">
        <is>
          <t>New procedures, training, the time of the people being trained.</t>
        </is>
      </c>
    </row>
    <row r="47" ht="16" customHeight="1">
      <c r="B47" s="33" t="inlineStr">
        <is>
          <t>Spread one-off costs over the first N quarters (1 to 4)</t>
        </is>
      </c>
      <c r="C47" s="65" t="n"/>
      <c r="D47" s="35" t="inlineStr">
        <is>
          <t>quarters</t>
        </is>
      </c>
      <c r="E47" s="66">
        <f>Example!C55</f>
        <v>2</v>
      </c>
      <c r="F47" s="67">
        <f>MAX(1,MIN(4,ROUND(IF(in_RunMode="Illustrative example",N(E47),N(C47)),0)))</f>
        <v>2</v>
      </c>
      <c r="G47" s="38" t="inlineStr">
        <is>
          <t>When the money goes out. Most builds run one or two quarters.</t>
        </is>
      </c>
    </row>
    <row r="48" ht="16" customHeight="1">
      <c r="B48" s="63" t="inlineStr">
        <is>
          <t>Total one-off cost</t>
        </is>
      </c>
      <c r="C48" s="28" t="n"/>
      <c r="D48" s="35" t="inlineStr">
        <is>
          <t>£</t>
        </is>
      </c>
      <c r="E48" s="28" t="n"/>
      <c r="F48" s="68">
        <f>in_CostDisc+in_CostEval+in_CostBuild+in_CostInt+in_CostChange</f>
        <v>130000</v>
      </c>
      <c r="G48" s="38" t="inlineStr">
        <is>
          <t>Calculated: the sum of the five lines above.</t>
        </is>
      </c>
    </row>
    <row r="49">
      <c r="B49" s="8" t="inlineStr">
        <is>
          <t>Ongoing costs (per year, from go-live)</t>
        </is>
      </c>
      <c r="C49" s="2" t="n"/>
      <c r="D49" s="2" t="n"/>
      <c r="E49" s="2" t="n"/>
      <c r="F49" s="2" t="n"/>
      <c r="G49" s="2" t="n"/>
    </row>
    <row r="50" ht="16" customHeight="1">
      <c r="B50" s="33" t="inlineStr">
        <is>
          <t>Maintenance and engineering time</t>
        </is>
      </c>
      <c r="C50" s="51" t="n"/>
      <c r="D50" s="35" t="inlineStr">
        <is>
          <t>£ / year</t>
        </is>
      </c>
      <c r="E50" s="52">
        <f>Example!C57</f>
        <v>30000</v>
      </c>
      <c r="F50" s="53">
        <f>IF(in_RunMode="Illustrative example",N(E50),N(C50))</f>
        <v>30000</v>
      </c>
      <c r="G50" s="38" t="inlineStr">
        <is>
          <t>Fixes, prompt and model updates, monitoring. Rarely zero.</t>
        </is>
      </c>
    </row>
    <row r="51" ht="27" customHeight="1">
      <c r="B51" s="33" t="inlineStr">
        <is>
          <t>Evaluation upkeep</t>
        </is>
      </c>
      <c r="C51" s="51" t="n"/>
      <c r="D51" s="35" t="inlineStr">
        <is>
          <t>£ / year</t>
        </is>
      </c>
      <c r="E51" s="52">
        <f>Example!C58</f>
        <v>10000</v>
      </c>
      <c r="F51" s="53">
        <f>IF(in_RunMode="Illustrative example",N(E51),N(C51))</f>
        <v>10000</v>
      </c>
      <c r="G51" s="38" t="inlineStr">
        <is>
          <t>Keeping the test set current and re-running it whenever the model, prompt or vendor changes.</t>
        </is>
      </c>
    </row>
    <row r="52" ht="16" customHeight="1">
      <c r="B52" s="33" t="inlineStr">
        <is>
          <t>Vendor licences</t>
        </is>
      </c>
      <c r="C52" s="51" t="n"/>
      <c r="D52" s="35" t="inlineStr">
        <is>
          <t>£ / year</t>
        </is>
      </c>
      <c r="E52" s="52">
        <f>Example!C59</f>
        <v>12000</v>
      </c>
      <c r="F52" s="53">
        <f>IF(in_RunMode="Illustrative example",N(E52),N(C52))</f>
        <v>12000</v>
      </c>
      <c r="G52" s="38" t="inlineStr">
        <is>
          <t>Software subscriptions this use case needs, excluding per-call model costs above.</t>
        </is>
      </c>
    </row>
    <row r="53" ht="16" customHeight="1">
      <c r="B53" s="63" t="inlineStr">
        <is>
          <t>Total ongoing cost per year (excluding run cost and platform)</t>
        </is>
      </c>
      <c r="C53" s="28" t="n"/>
      <c r="D53" s="35" t="inlineStr">
        <is>
          <t>£ / year</t>
        </is>
      </c>
      <c r="E53" s="28" t="n"/>
      <c r="F53" s="68">
        <f>in_Maint+in_EvalUpkeep+in_Licences</f>
        <v>52000</v>
      </c>
      <c r="G53" s="38" t="inlineStr">
        <is>
          <t>Calculated: the sum of the three lines above.</t>
        </is>
      </c>
    </row>
    <row r="54">
      <c r="B54" s="8" t="inlineStr">
        <is>
          <t>Adoption plan: share of the year's volume going through the AI workflow, by quarter</t>
        </is>
      </c>
      <c r="C54" s="2" t="n"/>
      <c r="D54" s="2" t="n"/>
      <c r="E54" s="2" t="n"/>
      <c r="F54" s="2" t="n"/>
      <c r="G54" s="2" t="n"/>
    </row>
    <row r="55" ht="27" customHeight="1">
      <c r="B55" s="33" t="inlineStr">
        <is>
          <t>Year 1, quarter 1</t>
        </is>
      </c>
      <c r="C55" s="69" t="n"/>
      <c r="D55" s="35" t="inlineStr">
        <is>
          <t>% of volume</t>
        </is>
      </c>
      <c r="E55" s="70">
        <f>Example!C61</f>
        <v>0</v>
      </c>
      <c r="F55" s="71">
        <f>IF(in_RunMode="Illustrative example",N(E55),N(C55))</f>
        <v>0</v>
      </c>
      <c r="G55" s="38" t="inlineStr">
        <is>
          <t>Quarter 1 starts when the project starts. Leave build quarters at 0%. Go-live is the first quarter above 0%: platform and ongoing costs start then.</t>
        </is>
      </c>
    </row>
    <row r="56" ht="27" customHeight="1">
      <c r="B56" s="33" t="inlineStr">
        <is>
          <t>Year 1, quarter 2</t>
        </is>
      </c>
      <c r="C56" s="69" t="n"/>
      <c r="D56" s="35" t="inlineStr">
        <is>
          <t>% of volume</t>
        </is>
      </c>
      <c r="E56" s="70">
        <f>Example!C62</f>
        <v>0.1</v>
      </c>
      <c r="F56" s="71">
        <f>IF(in_RunMode="Illustrative example",N(E56),N(C56))</f>
        <v>0.1</v>
      </c>
      <c r="G56" s="38" t="inlineStr">
        <is>
          <t>Be realistic: people take time to trust a new tool, and some items will always stay manual.</t>
        </is>
      </c>
    </row>
    <row r="57" ht="16" customHeight="1">
      <c r="B57" s="33" t="inlineStr">
        <is>
          <t>Year 1, quarter 3</t>
        </is>
      </c>
      <c r="C57" s="69" t="n"/>
      <c r="D57" s="35" t="inlineStr">
        <is>
          <t>% of volume</t>
        </is>
      </c>
      <c r="E57" s="70">
        <f>Example!C63</f>
        <v>0.4</v>
      </c>
      <c r="F57" s="71">
        <f>IF(in_RunMode="Illustrative example",N(E57),N(C57))</f>
        <v>0.4</v>
      </c>
      <c r="G57" s="38" t="inlineStr"/>
    </row>
    <row r="58" ht="16" customHeight="1">
      <c r="B58" s="33" t="inlineStr">
        <is>
          <t>Year 1, quarter 4</t>
        </is>
      </c>
      <c r="C58" s="69" t="n"/>
      <c r="D58" s="35" t="inlineStr">
        <is>
          <t>% of volume</t>
        </is>
      </c>
      <c r="E58" s="70">
        <f>Example!C64</f>
        <v>0.7</v>
      </c>
      <c r="F58" s="71">
        <f>IF(in_RunMode="Illustrative example",N(E58),N(C58))</f>
        <v>0.7</v>
      </c>
      <c r="G58" s="38" t="inlineStr"/>
    </row>
    <row r="59" ht="16" customHeight="1">
      <c r="B59" s="33" t="inlineStr">
        <is>
          <t>Year 2, quarter 1</t>
        </is>
      </c>
      <c r="C59" s="69" t="n"/>
      <c r="D59" s="35" t="inlineStr">
        <is>
          <t>% of volume</t>
        </is>
      </c>
      <c r="E59" s="70">
        <f>Example!C65</f>
        <v>0.85</v>
      </c>
      <c r="F59" s="71">
        <f>IF(in_RunMode="Illustrative example",N(E59),N(C59))</f>
        <v>0.85</v>
      </c>
      <c r="G59" s="38" t="inlineStr"/>
    </row>
    <row r="60" ht="16" customHeight="1">
      <c r="B60" s="33" t="inlineStr">
        <is>
          <t>Year 2, quarter 2</t>
        </is>
      </c>
      <c r="C60" s="69" t="n"/>
      <c r="D60" s="35" t="inlineStr">
        <is>
          <t>% of volume</t>
        </is>
      </c>
      <c r="E60" s="70">
        <f>Example!C66</f>
        <v>0.9</v>
      </c>
      <c r="F60" s="71">
        <f>IF(in_RunMode="Illustrative example",N(E60),N(C60))</f>
        <v>0.9</v>
      </c>
      <c r="G60" s="38" t="inlineStr"/>
    </row>
    <row r="61" ht="16" customHeight="1">
      <c r="B61" s="33" t="inlineStr">
        <is>
          <t>Year 2, quarter 3</t>
        </is>
      </c>
      <c r="C61" s="69" t="n"/>
      <c r="D61" s="35" t="inlineStr">
        <is>
          <t>% of volume</t>
        </is>
      </c>
      <c r="E61" s="70">
        <f>Example!C67</f>
        <v>0.9</v>
      </c>
      <c r="F61" s="71">
        <f>IF(in_RunMode="Illustrative example",N(E61),N(C61))</f>
        <v>0.9</v>
      </c>
      <c r="G61" s="38" t="inlineStr"/>
    </row>
    <row r="62" ht="16" customHeight="1">
      <c r="B62" s="33" t="inlineStr">
        <is>
          <t>Year 2, quarter 4</t>
        </is>
      </c>
      <c r="C62" s="69" t="n"/>
      <c r="D62" s="35" t="inlineStr">
        <is>
          <t>% of volume</t>
        </is>
      </c>
      <c r="E62" s="70">
        <f>Example!C68</f>
        <v>0.9</v>
      </c>
      <c r="F62" s="71">
        <f>IF(in_RunMode="Illustrative example",N(E62),N(C62))</f>
        <v>0.9</v>
      </c>
      <c r="G62" s="38" t="inlineStr"/>
    </row>
    <row r="63" ht="16" customHeight="1">
      <c r="B63" s="33" t="inlineStr">
        <is>
          <t>Year 3, quarter 1</t>
        </is>
      </c>
      <c r="C63" s="69" t="n"/>
      <c r="D63" s="35" t="inlineStr">
        <is>
          <t>% of volume</t>
        </is>
      </c>
      <c r="E63" s="70">
        <f>Example!C69</f>
        <v>0.9</v>
      </c>
      <c r="F63" s="71">
        <f>IF(in_RunMode="Illustrative example",N(E63),N(C63))</f>
        <v>0.9</v>
      </c>
      <c r="G63" s="38" t="inlineStr"/>
    </row>
    <row r="64" ht="16" customHeight="1">
      <c r="B64" s="33" t="inlineStr">
        <is>
          <t>Year 3, quarter 2</t>
        </is>
      </c>
      <c r="C64" s="69" t="n"/>
      <c r="D64" s="35" t="inlineStr">
        <is>
          <t>% of volume</t>
        </is>
      </c>
      <c r="E64" s="70">
        <f>Example!C70</f>
        <v>0.9</v>
      </c>
      <c r="F64" s="71">
        <f>IF(in_RunMode="Illustrative example",N(E64),N(C64))</f>
        <v>0.9</v>
      </c>
      <c r="G64" s="38" t="inlineStr"/>
    </row>
    <row r="65" ht="16" customHeight="1">
      <c r="B65" s="33" t="inlineStr">
        <is>
          <t>Year 3, quarter 3</t>
        </is>
      </c>
      <c r="C65" s="69" t="n"/>
      <c r="D65" s="35" t="inlineStr">
        <is>
          <t>% of volume</t>
        </is>
      </c>
      <c r="E65" s="70">
        <f>Example!C71</f>
        <v>0.9</v>
      </c>
      <c r="F65" s="71">
        <f>IF(in_RunMode="Illustrative example",N(E65),N(C65))</f>
        <v>0.9</v>
      </c>
      <c r="G65" s="38" t="inlineStr"/>
    </row>
    <row r="66" ht="16" customHeight="1">
      <c r="B66" s="33" t="inlineStr">
        <is>
          <t>Year 3, quarter 4</t>
        </is>
      </c>
      <c r="C66" s="69" t="n"/>
      <c r="D66" s="35" t="inlineStr">
        <is>
          <t>% of volume</t>
        </is>
      </c>
      <c r="E66" s="70">
        <f>Example!C72</f>
        <v>0.9</v>
      </c>
      <c r="F66" s="71">
        <f>IF(in_RunMode="Illustrative example",N(E66),N(C66))</f>
        <v>0.9</v>
      </c>
      <c r="G66" s="38" t="inlineStr"/>
    </row>
    <row r="67">
      <c r="B67" s="8" t="inlineStr">
        <is>
          <t>Finance</t>
        </is>
      </c>
      <c r="C67" s="2" t="n"/>
      <c r="D67" s="2" t="n"/>
      <c r="E67" s="2" t="n"/>
      <c r="F67" s="2" t="n"/>
      <c r="G67" s="2" t="n"/>
    </row>
    <row r="68" ht="16" customHeight="1">
      <c r="B68" s="33" t="inlineStr">
        <is>
          <t>Discount rate (per year)</t>
        </is>
      </c>
      <c r="C68" s="42" t="n"/>
      <c r="D68" s="35" t="inlineStr">
        <is>
          <t>% / year</t>
        </is>
      </c>
      <c r="E68" s="43">
        <f>Example!C74</f>
        <v>0.1</v>
      </c>
      <c r="F68" s="44">
        <f>IF(in_RunMode="Illustrative example",N(E68),N(C68))</f>
        <v>0.1</v>
      </c>
      <c r="G68" s="38" t="inlineStr">
        <is>
          <t>Your hurdle rate or cost of capital. Ask finance.</t>
        </is>
      </c>
    </row>
    <row r="69">
      <c r="B69" s="8" t="inlineStr">
        <is>
          <t>For the Board summary</t>
        </is>
      </c>
      <c r="C69" s="2" t="n"/>
      <c r="D69" s="2" t="n"/>
      <c r="E69" s="2" t="n"/>
      <c r="F69" s="2" t="n"/>
      <c r="G69" s="2" t="n"/>
    </row>
    <row r="70" ht="64" customHeight="1">
      <c r="B70" s="5" t="inlineStr">
        <is>
          <t>The decision you are asking for</t>
        </is>
      </c>
      <c r="C70" s="72" t="n"/>
      <c r="D70" s="29" t="inlineStr">
        <is>
          <t>text</t>
        </is>
      </c>
      <c r="E70" s="73" t="str">
        <f>IF(LEN(Example!C76)=0,"",Example!C76)</f>
        <v>Approve £35,000 for discovery and the evaluation suite, then a 12-week pilot on one onboarding team. Release the remaining £95,000 build budget only if the pilot meets the success metric below.</v>
      </c>
      <c r="F70" s="74" t="str">
        <f>IF(in_RunMode="Illustrative example",E70,IF(LEN(C70)=0,"",C70))</f>
        <v>Approve £35,000 for discovery and the evaluation suite, then a 12-week pilot on one onboarding team. Release the remaining £95,000 build budget only if the pilot meets the success metric below.</v>
      </c>
      <c r="G70" s="29" t="inlineStr">
        <is>
          <t>Ask for a staged decision: a small, reversible commitment first, with the rest released on evidence. The example's full text is on the Example tab.</t>
        </is>
      </c>
    </row>
    <row r="71" ht="64" customHeight="1">
      <c r="B71" s="5" t="inlineStr">
        <is>
          <t>Pre-registered success metric</t>
        </is>
      </c>
      <c r="C71" s="72" t="n"/>
      <c r="D71" s="29" t="inlineStr">
        <is>
          <t>text</t>
        </is>
      </c>
      <c r="E71" s="73" t="str">
        <f>IF(LEN(Example!C77)=0,"",Example!C77)</f>
        <v>On the fixed 200-case evaluation set and four weeks of live pilot: accuracy of at least 90% on the files the AI handles, at least 75% of files handled without escalation, and median review time of 10 minutes or less. Before full rollout, the two open analyst vacancies are closed, not filled.</v>
      </c>
      <c r="F71" s="74" t="str">
        <f>IF(in_RunMode="Illustrative example",E71,IF(LEN(C71)=0,"",C71))</f>
        <v>On the fixed 200-case evaluation set and four weeks of live pilot: accuracy of at least 90% on the files the AI handles, at least 75% of files handled without escalation, and median review time of 10 minutes or less. Before full rollout, the two open analyst vacancies are closed, not filled.</v>
      </c>
      <c r="G71" s="29" t="inlineStr">
        <is>
          <t>Write it down before the pilot starts, with the numbers. Pick a level comfortably above the break-even values on the Sensitivity tab.</t>
        </is>
      </c>
    </row>
    <row r="72" ht="64" customHeight="1">
      <c r="B72" s="5" t="inlineStr">
        <is>
          <t>Kill criterion</t>
        </is>
      </c>
      <c r="C72" s="72" t="n"/>
      <c r="D72" s="29" t="inlineStr">
        <is>
          <t>text</t>
        </is>
      </c>
      <c r="E72" s="73" t="str">
        <f>IF(LEN(Example!C78)=0,"",Example!C78)</f>
        <v>Stop if, after two improvement cycles, accuracy is below 85%, fewer than 65% of files are handled without escalation, or median review time is above 15 minutes.</v>
      </c>
      <c r="F72" s="74" t="str">
        <f>IF(in_RunMode="Illustrative example",E72,IF(LEN(C72)=0,"",C72))</f>
        <v>Stop if, after two improvement cycles, accuracy is below 85%, fewer than 65% of files are handled without escalation, or median review time is above 15 minutes.</v>
      </c>
      <c r="G72" s="29" t="inlineStr">
        <is>
          <t>The result at which you stop. Agreeing it in advance is what makes stopping possible.</t>
        </is>
      </c>
    </row>
    <row r="73" ht="29" customHeight="1">
      <c r="B73" s="33" t="inlineStr">
        <is>
          <t>Review date</t>
        </is>
      </c>
      <c r="C73" s="34" t="n"/>
      <c r="D73" s="35" t="inlineStr">
        <is>
          <t>text</t>
        </is>
      </c>
      <c r="E73" s="36" t="str">
        <f>IF(LEN(Example!C79)=0,"",Example!C79)</f>
        <v>End of week 12 of the pilot</v>
      </c>
      <c r="F73" s="37" t="str">
        <f>IF(in_RunMode="Illustrative example",E73,IF(LEN(C73)=0,"",C73))</f>
        <v>End of week 12 of the pilot</v>
      </c>
      <c r="G73" s="38" t="inlineStr">
        <is>
          <t>A date, not a phase.</t>
        </is>
      </c>
    </row>
    <row r="74" ht="16.5" customHeight="1">
      <c r="B74" s="33" t="inlineStr">
        <is>
          <t>Accountable owner</t>
        </is>
      </c>
      <c r="C74" s="34" t="n"/>
      <c r="D74" s="35" t="inlineStr">
        <is>
          <t>text</t>
        </is>
      </c>
      <c r="E74" s="36" t="str">
        <f>IF(LEN(Example!C80)=0,"",Example!C80)</f>
        <v>Head of Operations</v>
      </c>
      <c r="F74" s="37" t="str">
        <f>IF(in_RunMode="Illustrative example",E74,IF(LEN(C74)=0,"",C74))</f>
        <v>Head of Operations</v>
      </c>
      <c r="G74" s="38" t="inlineStr">
        <is>
          <t>One person, not a committee.</t>
        </is>
      </c>
    </row>
    <row r="75" ht="52" customHeight="1">
      <c r="B75" s="5" t="inlineStr">
        <is>
          <t>Risk 1 and how you'll manage it</t>
        </is>
      </c>
      <c r="C75" s="72" t="n"/>
      <c r="D75" s="29" t="inlineStr">
        <is>
          <t>text</t>
        </is>
      </c>
      <c r="E75" s="73" t="str">
        <f>IF(LEN(Example!C81)=0,"",Example!C81)</f>
        <v>Accuracy drops when the vendor updates the model. We pin the model version and re-run the evaluation suite before every change.</v>
      </c>
      <c r="F75" s="74" t="str">
        <f>IF(in_RunMode="Illustrative example",E75,IF(LEN(C75)=0,"",C75))</f>
        <v>Accuracy drops when the vendor updates the model. We pin the model version and re-run the evaluation suite before every change.</v>
      </c>
      <c r="G75" s="29" t="inlineStr">
        <is>
          <t>Name the risk and the control.</t>
        </is>
      </c>
    </row>
    <row r="76" ht="52" customHeight="1">
      <c r="B76" s="5" t="inlineStr">
        <is>
          <t>Risk 2 and how you'll manage it</t>
        </is>
      </c>
      <c r="C76" s="72" t="n"/>
      <c r="D76" s="29" t="inlineStr">
        <is>
          <t>text</t>
        </is>
      </c>
      <c r="E76" s="73" t="str">
        <f>IF(LEN(Example!C82)=0,"",Example!C82)</f>
        <v>Reviewers start approving the AI's work without checking it. We seed known errors into the queue each month and track the catch rate.</v>
      </c>
      <c r="F76" s="74" t="str">
        <f>IF(in_RunMode="Illustrative example",E76,IF(LEN(C76)=0,"",C76))</f>
        <v>Reviewers start approving the AI's work without checking it. We seed known errors into the queue each month and track the catch rate.</v>
      </c>
      <c r="G76" s="29" t="inlineStr"/>
    </row>
    <row r="77" ht="52" customHeight="1">
      <c r="B77" s="5" t="inlineStr">
        <is>
          <t>Risk 3 and how you'll manage it</t>
        </is>
      </c>
      <c r="C77" s="72" t="n"/>
      <c r="D77" s="29" t="inlineStr">
        <is>
          <t>text</t>
        </is>
      </c>
      <c r="E77" s="73" t="str">
        <f>IF(LEN(Example!C83)=0,"",Example!C83)</f>
        <v>Run cost grows faster than volume as documents get longer or retries creep in. We meter cost per application weekly against this business case.</v>
      </c>
      <c r="F77" s="74" t="str">
        <f>IF(in_RunMode="Illustrative example",E77,IF(LEN(C77)=0,"",C77))</f>
        <v>Run cost grows faster than volume as documents get longer or retries creep in. We meter cost per application weekly against this business case.</v>
      </c>
      <c r="G77" s="29" t="inlineStr"/>
    </row>
  </sheetData>
  <mergeCells count="1">
    <mergeCell ref="B2:G2"/>
  </mergeCells>
  <conditionalFormatting sqref="F9">
    <cfRule type="cellIs" priority="1" operator="greaterThan" dxfId="0">
      <formula>0</formula>
    </cfRule>
  </conditionalFormatting>
  <dataValidations count="7">
    <dataValidation sqref="C6" showDropDown="0" showInputMessage="0" showErrorMessage="1" allowBlank="0" errorTitle="Choose from the list" error="Choose Illustrative example or My numbers." type="list">
      <formula1>"Illustrative example,My numbers"</formula1>
    </dataValidation>
    <dataValidation sqref="C7" showDropDown="0" showInputMessage="0" showErrorMessage="1" allowBlank="0" errorTitle="Choose from the list" error="Choose Low, Base or High." type="list">
      <formula1>"Low,Base,High"</formula1>
    </dataValidation>
    <dataValidation sqref="C19 C23 C24 C25 C27 C30 C55 C56 C57 C58 C59 C60 C61 C62 C63 C64 C65 C66" showDropDown="0" showInputMessage="0" showErrorMessage="1" allowBlank="1" errorTitle="Percentage between 0% and 100%" error="Enter a percentage between 0% and 100%, e.g. 85%." type="decimal" operator="between">
      <formula1>0</formula1>
      <formula2>1</formula2>
    </dataValidation>
    <dataValidation sqref="C15" showDropDown="0" showInputMessage="0" showErrorMessage="1" allowBlank="1" errorTitle="Growth rate" error="Enter growth between -50% and 200%." type="decimal" operator="between">
      <formula1>-0.5</formula1>
      <formula2>2</formula2>
    </dataValidation>
    <dataValidation sqref="C68" showDropDown="0" showInputMessage="0" showErrorMessage="1" allowBlank="1" errorTitle="Discount rate" error="Enter a discount rate between 0% and 50%." type="decimal" operator="between">
      <formula1>0</formula1>
      <formula2>0.5</formula2>
    </dataValidation>
    <dataValidation sqref="C14 C17 C18 C20 C21 C26 C28 C29 C32 C33 C34 C35 C36 C37 C38 C40 C42 C43 C44 C45 C46 C50 C51 C52" showDropDown="0" showInputMessage="0" showErrorMessage="1" allowBlank="1" errorTitle="Number of zero or more" error="Enter a number of zero or more." type="decimal" operator="greaterThanOrEqual">
      <formula1>0</formula1>
    </dataValidation>
    <dataValidation sqref="C47" showDropDown="0" showInputMessage="0" showErrorMessage="1" allowBlank="1" errorTitle="Whole number from 1 to 4" error="Enter a whole number of quarters from 1 to 4." type="whole" operator="between">
      <formula1>1</formula1>
      <formula2>4</formula2>
    </dataValidation>
  </dataValidations>
  <pageMargins left="0.75" right="0.75" top="1" bottom="1" header="0.5" footer="0.5"/>
  <pageSetup orientation="landscape" fitToHeight="0" fitToWidth="1"/>
</worksheet>
</file>

<file path=xl/worksheets/sheet3.xml><?xml version="1.0" encoding="utf-8"?>
<worksheet xmlns="http://schemas.openxmlformats.org/spreadsheetml/2006/main">
  <sheetPr>
    <tabColor rgb="00DFAE4E"/>
    <outlinePr summaryBelow="1" summaryRight="1"/>
    <pageSetUpPr fitToPage="1"/>
  </sheetPr>
  <dimension ref="B1:G38"/>
  <sheetViews>
    <sheetView showGridLines="0" workbookViewId="0">
      <pane ySplit="3" topLeftCell="A4" activePane="bottomLeft" state="frozen"/>
      <selection pane="bottomLeft" activeCell="A1" sqref="A1"/>
    </sheetView>
  </sheetViews>
  <sheetFormatPr baseColWidth="8" defaultRowHeight="15"/>
  <cols>
    <col width="2" customWidth="1" min="1" max="1"/>
    <col width="50" customWidth="1" min="2" max="2"/>
    <col width="17" customWidth="1" min="3" max="3"/>
    <col width="17" customWidth="1" min="4" max="4"/>
    <col width="17" customWidth="1" min="5" max="5"/>
    <col width="17" customWidth="1" min="6" max="6"/>
    <col width="64" customWidth="1" min="7" max="7"/>
  </cols>
  <sheetData>
    <row r="1" ht="30" customHeight="1">
      <c r="B1" s="24" t="inlineStr">
        <is>
          <t>Scenarios</t>
        </is>
      </c>
      <c r="C1" s="2" t="n"/>
      <c r="D1" s="2" t="n"/>
      <c r="E1" s="2" t="n"/>
      <c r="F1" s="2" t="n"/>
      <c r="G1" s="2" t="n"/>
    </row>
    <row r="2" ht="30" customHeight="1">
      <c r="B2" s="5" t="inlineStr">
        <is>
          <t>No number in a business case is certain. Set how far each uncertain assumption could reasonably move. Low and High are the range you would not be surprised by, not the worst and best you can imagine. The defaults are a sensible start, and they apply to whichever numbers are in use.</t>
        </is>
      </c>
    </row>
    <row r="4">
      <c r="B4" s="9" t="inlineStr">
        <is>
          <t>Scenario analysed on the Model and Sensitivity tabs</t>
        </is>
      </c>
      <c r="C4" s="75" t="str">
        <f>in_Scenario</f>
        <v>Base</v>
      </c>
      <c r="D4" s="76" t="inlineStr">
        <is>
          <t>Change it on Inputs, cell C7.</t>
        </is>
      </c>
    </row>
    <row r="5">
      <c r="B5" s="76" t="inlineStr">
        <is>
          <t>Scenario number (1 Low, 2 Base, 3 High)</t>
        </is>
      </c>
      <c r="C5" s="77">
        <f>IF(in_Scenario="Low",1,IF(in_Scenario="High",3,2))</f>
        <v>2</v>
      </c>
    </row>
    <row r="6">
      <c r="B6" s="8" t="inlineStr">
        <is>
          <t>How far to stress each assumption</t>
        </is>
      </c>
      <c r="C6" s="2" t="n"/>
      <c r="D6" s="2" t="n"/>
      <c r="E6" s="2" t="n"/>
      <c r="F6" s="2" t="n"/>
      <c r="G6" s="2" t="n"/>
    </row>
    <row r="7">
      <c r="B7" s="25" t="inlineStr">
        <is>
          <t>Assumption</t>
        </is>
      </c>
      <c r="C7" s="26" t="inlineStr">
        <is>
          <t>Low case</t>
        </is>
      </c>
      <c r="D7" s="26" t="inlineStr">
        <is>
          <t>Base</t>
        </is>
      </c>
      <c r="E7" s="26" t="inlineStr">
        <is>
          <t>High case</t>
        </is>
      </c>
      <c r="F7" s="26" t="inlineStr">
        <is>
          <t>Unit</t>
        </is>
      </c>
      <c r="G7" s="26" t="inlineStr">
        <is>
          <t>Why this default</t>
        </is>
      </c>
    </row>
    <row r="8" ht="27" customHeight="1">
      <c r="B8" s="78" t="inlineStr">
        <is>
          <t>AI accuracy on the items it handles</t>
        </is>
      </c>
      <c r="C8" s="79" t="n">
        <v>-0.05</v>
      </c>
      <c r="D8" s="80" t="n">
        <v>0</v>
      </c>
      <c r="E8" s="79" t="n">
        <v>0.02</v>
      </c>
      <c r="F8" s="81" t="inlineStr">
        <is>
          <t>points</t>
        </is>
      </c>
      <c r="G8" s="38" t="inlineStr">
        <is>
          <t>Production data is messier than any evaluation set, and accuracy drifts when models change.</t>
        </is>
      </c>
    </row>
    <row r="9" ht="15" customHeight="1">
      <c r="B9" s="78" t="inlineStr">
        <is>
          <t>Share of items the AI handles</t>
        </is>
      </c>
      <c r="C9" s="79" t="n">
        <v>-0.1</v>
      </c>
      <c r="D9" s="80" t="n">
        <v>0</v>
      </c>
      <c r="E9" s="79" t="n">
        <v>0.05</v>
      </c>
      <c r="F9" s="81" t="inlineStr">
        <is>
          <t>points</t>
        </is>
      </c>
      <c r="G9" s="38" t="inlineStr">
        <is>
          <t>Edge cases you haven't seen yet tend to show up after go-live.</t>
        </is>
      </c>
    </row>
    <row r="10" ht="15" customHeight="1">
      <c r="B10" s="78" t="inlineStr">
        <is>
          <t>Human minutes per reviewed item</t>
        </is>
      </c>
      <c r="C10" s="82" t="n">
        <v>1.5</v>
      </c>
      <c r="D10" s="83" t="n">
        <v>1</v>
      </c>
      <c r="E10" s="82" t="n">
        <v>0.85</v>
      </c>
      <c r="F10" s="81" t="inlineStr">
        <is>
          <t>x base</t>
        </is>
      </c>
      <c r="G10" s="38" t="inlineStr">
        <is>
          <t>Review takes longer than the demo suggests until people trust the tool.</t>
        </is>
      </c>
    </row>
    <row r="11" ht="15" customHeight="1">
      <c r="B11" s="78" t="inlineStr">
        <is>
          <t>Share of freed time that becomes real value</t>
        </is>
      </c>
      <c r="C11" s="79" t="n">
        <v>-0.2</v>
      </c>
      <c r="D11" s="80" t="n">
        <v>0</v>
      </c>
      <c r="E11" s="79" t="n">
        <v>0.1</v>
      </c>
      <c r="F11" s="81" t="inlineStr">
        <is>
          <t>points</t>
        </is>
      </c>
      <c r="G11" s="38" t="inlineStr">
        <is>
          <t>The most commonly overstated number in AI business cases.</t>
        </is>
      </c>
    </row>
    <row r="12" ht="15" customHeight="1">
      <c r="B12" s="78" t="inlineStr">
        <is>
          <t>Adoption achieved vs plan</t>
        </is>
      </c>
      <c r="C12" s="82" t="n">
        <v>0.75</v>
      </c>
      <c r="D12" s="83" t="n">
        <v>1</v>
      </c>
      <c r="E12" s="82" t="n">
        <v>1.05</v>
      </c>
      <c r="F12" s="81" t="inlineStr">
        <is>
          <t>x plan</t>
        </is>
      </c>
      <c r="G12" s="38" t="inlineStr">
        <is>
          <t>Teams adopt at different speeds; some never do.</t>
        </is>
      </c>
    </row>
    <row r="13" ht="27" customHeight="1">
      <c r="B13" s="78" t="inlineStr">
        <is>
          <t>Go-live delay</t>
        </is>
      </c>
      <c r="C13" s="84" t="n">
        <v>1</v>
      </c>
      <c r="D13" s="85" t="n">
        <v>0</v>
      </c>
      <c r="E13" s="84" t="n">
        <v>0</v>
      </c>
      <c r="F13" s="81" t="inlineStr">
        <is>
          <t>quarters</t>
        </is>
      </c>
      <c r="G13" s="38" t="inlineStr">
        <is>
          <t>Integration and sign-off take longer than the build. Costs keep running while benefits wait.</t>
        </is>
      </c>
    </row>
    <row r="14" ht="27" customHeight="1">
      <c r="B14" s="78" t="inlineStr">
        <is>
          <t>Run cost per item vs estimate</t>
        </is>
      </c>
      <c r="C14" s="82" t="n">
        <v>2</v>
      </c>
      <c r="D14" s="83" t="n">
        <v>1</v>
      </c>
      <c r="E14" s="82" t="n">
        <v>0.8</v>
      </c>
      <c r="F14" s="81" t="inlineStr">
        <is>
          <t>x estimate</t>
        </is>
      </c>
      <c r="G14" s="38" t="inlineStr">
        <is>
          <t>Retries, longer documents and agent steps push bills above forecast. Prices can also fall.</t>
        </is>
      </c>
    </row>
    <row r="15" ht="15" customHeight="1">
      <c r="B15" s="78" t="inlineStr">
        <is>
          <t>One-off cost vs estimate</t>
        </is>
      </c>
      <c r="C15" s="82" t="n">
        <v>1.25</v>
      </c>
      <c r="D15" s="83" t="n">
        <v>1</v>
      </c>
      <c r="E15" s="82" t="n">
        <v>1</v>
      </c>
      <c r="F15" s="81" t="inlineStr">
        <is>
          <t>x estimate</t>
        </is>
      </c>
      <c r="G15" s="38" t="inlineStr">
        <is>
          <t>Builds overrun more often than they come in under.</t>
        </is>
      </c>
    </row>
    <row r="16">
      <c r="B16" s="86" t="inlineStr">
        <is>
          <t>Base is your plan exactly as entered on Inputs, so its column is fixed.</t>
        </is>
      </c>
    </row>
    <row r="17" ht="15" customHeight="1">
      <c r="B17" s="23" t="inlineStr">
        <is>
          <t>Low and High move every assumption at once, so the range is deliberately wide. The Sensitivity tab shows what each assumption does on its own.</t>
        </is>
      </c>
    </row>
    <row r="18">
      <c r="B18" s="8" t="inlineStr">
        <is>
          <t>Values used in each scenario</t>
        </is>
      </c>
      <c r="C18" s="2" t="n"/>
      <c r="D18" s="2" t="n"/>
      <c r="E18" s="2" t="n"/>
      <c r="F18" s="2" t="n"/>
      <c r="G18" s="2" t="n"/>
    </row>
    <row r="19">
      <c r="B19" s="25" t="inlineStr">
        <is>
          <t>Assumption</t>
        </is>
      </c>
      <c r="C19" s="26" t="inlineStr">
        <is>
          <t>Low</t>
        </is>
      </c>
      <c r="D19" s="26" t="inlineStr">
        <is>
          <t>Base</t>
        </is>
      </c>
      <c r="E19" s="26" t="inlineStr">
        <is>
          <t>High</t>
        </is>
      </c>
      <c r="F19" s="26" t="inlineStr">
        <is>
          <t>Selected</t>
        </is>
      </c>
      <c r="G19" s="26" t="inlineStr">
        <is>
          <t>How it is worked out</t>
        </is>
      </c>
    </row>
    <row r="20">
      <c r="B20" s="28" t="inlineStr">
        <is>
          <t>AI accuracy on the items it handles</t>
        </is>
      </c>
      <c r="C20" s="87">
        <f>MAX(0,MIN(1,in_Accuracy+C8))</f>
        <v>0.87</v>
      </c>
      <c r="D20" s="88">
        <f>in_Accuracy</f>
        <v>0.92</v>
      </c>
      <c r="E20" s="87">
        <f>MAX(0,MIN(1,in_Accuracy+E8))</f>
        <v>0.94</v>
      </c>
      <c r="F20" s="89">
        <f>CHOOSE(ScenarioIdx,C20,D20,E20)</f>
        <v>0.92</v>
      </c>
      <c r="G20" s="29" t="inlineStr">
        <is>
          <t>Base accuracy plus the change in points, kept between 0% and 100%.</t>
        </is>
      </c>
    </row>
    <row r="21">
      <c r="B21" s="28" t="inlineStr">
        <is>
          <t>Share of items the AI handles</t>
        </is>
      </c>
      <c r="C21" s="87">
        <f>MAX(0,MIN(1,in_ShareHandled+C9))</f>
        <v>0.7</v>
      </c>
      <c r="D21" s="88">
        <f>in_ShareHandled</f>
        <v>0.8</v>
      </c>
      <c r="E21" s="87">
        <f>MAX(0,MIN(1,in_ShareHandled+E9))</f>
        <v>0.85</v>
      </c>
      <c r="F21" s="89">
        <f>CHOOSE(ScenarioIdx,C21,D21,E21)</f>
        <v>0.8</v>
      </c>
      <c r="G21" s="29" t="inlineStr">
        <is>
          <t>Base share plus the change in points, kept between 0% and 100%.</t>
        </is>
      </c>
    </row>
    <row r="22">
      <c r="B22" s="28" t="inlineStr">
        <is>
          <t>Human minutes per reviewed item</t>
        </is>
      </c>
      <c r="C22" s="90">
        <f>MAX(0,in_ReviewMins*C10)</f>
        <v>12</v>
      </c>
      <c r="D22" s="91">
        <f>in_ReviewMins</f>
        <v>8</v>
      </c>
      <c r="E22" s="90">
        <f>MAX(0,in_ReviewMins*E10)</f>
        <v>6.8</v>
      </c>
      <c r="F22" s="92">
        <f>CHOOSE(ScenarioIdx,C22,D22,E22)</f>
        <v>8</v>
      </c>
      <c r="G22" s="29" t="inlineStr">
        <is>
          <t>Base minutes times the multiplier.</t>
        </is>
      </c>
    </row>
    <row r="23">
      <c r="B23" s="28" t="inlineStr">
        <is>
          <t>Share of freed time that becomes real value</t>
        </is>
      </c>
      <c r="C23" s="87">
        <f>MAX(0,MIN(1,in_Realisation+C11))</f>
        <v>0.5</v>
      </c>
      <c r="D23" s="88">
        <f>in_Realisation</f>
        <v>0.7</v>
      </c>
      <c r="E23" s="87">
        <f>MAX(0,MIN(1,in_Realisation+E11))</f>
        <v>0.8</v>
      </c>
      <c r="F23" s="89">
        <f>CHOOSE(ScenarioIdx,C23,D23,E23)</f>
        <v>0.7</v>
      </c>
      <c r="G23" s="29" t="inlineStr">
        <is>
          <t>Base share plus the change in points, kept between 0% and 100%.</t>
        </is>
      </c>
    </row>
    <row r="24">
      <c r="B24" s="28" t="inlineStr">
        <is>
          <t>Adoption achieved vs plan</t>
        </is>
      </c>
      <c r="C24" s="93">
        <f>MAX(0,C12)</f>
        <v>0.75</v>
      </c>
      <c r="D24" s="93">
        <f>D12</f>
        <v>1</v>
      </c>
      <c r="E24" s="93">
        <f>MAX(0,E12)</f>
        <v>1.05</v>
      </c>
      <c r="F24" s="94">
        <f>CHOOSE(ScenarioIdx,C24,D24,E24)</f>
        <v>1</v>
      </c>
      <c r="G24" s="29" t="inlineStr">
        <is>
          <t>Multiplies every quarter of the adoption plan, capped at 100% of volume.</t>
        </is>
      </c>
    </row>
    <row r="25">
      <c r="B25" s="28" t="inlineStr">
        <is>
          <t>Go-live delay (quarters)</t>
        </is>
      </c>
      <c r="C25" s="95">
        <f>MAX(0,ROUND(C13,0))</f>
        <v>1</v>
      </c>
      <c r="D25" s="95">
        <f>D13</f>
        <v>0</v>
      </c>
      <c r="E25" s="95">
        <f>MAX(0,ROUND(E13,0))</f>
        <v>0</v>
      </c>
      <c r="F25" s="96">
        <f>CHOOSE(ScenarioIdx,C25,D25,E25)</f>
        <v>0</v>
      </c>
      <c r="G25" s="29" t="inlineStr">
        <is>
          <t>Shifts the adoption plan and the start of running costs later by whole quarters.</t>
        </is>
      </c>
    </row>
    <row r="26">
      <c r="B26" s="28" t="inlineStr">
        <is>
          <t>Run cost per item</t>
        </is>
      </c>
      <c r="C26" s="97">
        <f>in_RunCostItem*MAX(0,C14)</f>
        <v>0.432</v>
      </c>
      <c r="D26" s="98">
        <f>in_RunCostItem</f>
        <v>0.216</v>
      </c>
      <c r="E26" s="97">
        <f>in_RunCostItem*MAX(0,E14)</f>
        <v>0.1728</v>
      </c>
      <c r="F26" s="99">
        <f>CHOOSE(ScenarioIdx,C26,D26,E26)</f>
        <v>0.216</v>
      </c>
      <c r="G26" s="29" t="inlineStr">
        <is>
          <t>Run cost per item from Inputs times the multiplier.</t>
        </is>
      </c>
    </row>
    <row r="27">
      <c r="B27" s="28" t="inlineStr">
        <is>
          <t>Total one-off cost</t>
        </is>
      </c>
      <c r="C27" s="100">
        <f>in_OneOffTotal*MAX(0,C15)</f>
        <v>162500</v>
      </c>
      <c r="D27" s="101">
        <f>in_OneOffTotal</f>
        <v>130000</v>
      </c>
      <c r="E27" s="100">
        <f>in_OneOffTotal*MAX(0,E15)</f>
        <v>130000</v>
      </c>
      <c r="F27" s="102">
        <f>CHOOSE(ScenarioIdx,C27,D27,E27)</f>
        <v>130000</v>
      </c>
      <c r="G27" s="29" t="inlineStr">
        <is>
          <t>Total one-off cost from Inputs times the multiplier.</t>
        </is>
      </c>
    </row>
    <row r="29">
      <c r="B29" s="8" t="inlineStr">
        <is>
          <t>Results by scenario (from the Model tab)</t>
        </is>
      </c>
      <c r="C29" s="2" t="n"/>
      <c r="D29" s="2" t="n"/>
      <c r="E29" s="2" t="n"/>
      <c r="F29" s="2" t="n"/>
      <c r="G29" s="2" t="n"/>
    </row>
    <row r="30">
      <c r="B30" s="25" t="inlineStr">
        <is>
          <t>Measure</t>
        </is>
      </c>
      <c r="C30" s="26" t="inlineStr">
        <is>
          <t>Low</t>
        </is>
      </c>
      <c r="D30" s="26" t="inlineStr">
        <is>
          <t>Base</t>
        </is>
      </c>
      <c r="E30" s="26" t="inlineStr">
        <is>
          <t>High</t>
        </is>
      </c>
      <c r="F30" s="26" t="inlineStr">
        <is>
          <t>Selected</t>
        </is>
      </c>
      <c r="G30" s="26" t="inlineStr"/>
    </row>
    <row r="31">
      <c r="B31" s="33" t="inlineStr">
        <is>
          <t>3-year net benefit (cash)</t>
        </is>
      </c>
      <c r="C31" s="103">
        <f>Model!D7</f>
        <v>-170542.333617188</v>
      </c>
      <c r="D31" s="104">
        <f>Model!E7</f>
        <v>163292.0748</v>
      </c>
      <c r="E31" s="103">
        <f>Model!F7</f>
        <v>324923.3967075</v>
      </c>
      <c r="F31" s="103">
        <f>Model!G7</f>
        <v>163292.0748</v>
      </c>
    </row>
    <row r="32">
      <c r="B32" s="33" t="inlineStr">
        <is>
          <t>3-year net present value (NPV)</t>
        </is>
      </c>
      <c r="C32" s="103">
        <f>Model!D8</f>
        <v>-166679.409523961</v>
      </c>
      <c r="D32" s="104">
        <f>Model!E8</f>
        <v>113792.449549866</v>
      </c>
      <c r="E32" s="103">
        <f>Model!F8</f>
        <v>247753.367730255</v>
      </c>
      <c r="F32" s="103">
        <f>Model!G8</f>
        <v>113792.449549866</v>
      </c>
    </row>
    <row r="33">
      <c r="B33" s="33" t="inlineStr">
        <is>
          <t>3-year return on total cost (ROI)</t>
        </is>
      </c>
      <c r="C33" s="105">
        <f>Model!D9</f>
        <v>-0.493179352946865</v>
      </c>
      <c r="D33" s="106">
        <f>Model!E9</f>
        <v>0.496886203532374</v>
      </c>
      <c r="E33" s="105">
        <f>Model!F9</f>
        <v>0.991678875687883</v>
      </c>
      <c r="F33" s="105">
        <f>Model!G9</f>
        <v>0.496886203532374</v>
      </c>
    </row>
    <row r="34">
      <c r="B34" s="33" t="inlineStr">
        <is>
          <t>Payback (months from project start)</t>
        </is>
      </c>
      <c r="C34" s="107" t="str">
        <f>Model!D10</f>
        <v>Not within 3 years</v>
      </c>
      <c r="D34" s="108">
        <f>Model!E10</f>
        <v>23.1337127053485</v>
      </c>
      <c r="E34" s="107">
        <f>Model!F10</f>
        <v>18.2181576699222</v>
      </c>
      <c r="F34" s="107">
        <f>Model!G10</f>
        <v>23.1337127053485</v>
      </c>
    </row>
    <row r="35">
      <c r="B35" s="33" t="inlineStr">
        <is>
          <t>One-off investment</t>
        </is>
      </c>
      <c r="C35" s="103">
        <f>Model!D11</f>
        <v>162500</v>
      </c>
      <c r="D35" s="104">
        <f>Model!E11</f>
        <v>130000</v>
      </c>
      <c r="E35" s="103">
        <f>Model!F11</f>
        <v>130000</v>
      </c>
      <c r="F35" s="103">
        <f>Model!G11</f>
        <v>130000</v>
      </c>
    </row>
    <row r="36" ht="26" customHeight="1">
      <c r="B36" s="33" t="inlineStr">
        <is>
          <t>Running cost in year 3 (AI run, platform, maintenance, evaluation, licences)</t>
        </is>
      </c>
      <c r="C36" s="103">
        <f>Model!D15</f>
        <v>74234.032</v>
      </c>
      <c r="D36" s="104">
        <f>Model!E15</f>
        <v>72822.688</v>
      </c>
      <c r="E36" s="103">
        <f>Model!F15</f>
        <v>72371.05792</v>
      </c>
      <c r="F36" s="103">
        <f>Model!G15</f>
        <v>72822.688</v>
      </c>
    </row>
    <row r="37">
      <c r="B37" s="33" t="inlineStr">
        <is>
          <t>Full-time equivalents freed in year 3</t>
        </is>
      </c>
      <c r="C37" s="109">
        <f>Model!D17</f>
        <v>1.8825832265625</v>
      </c>
      <c r="D37" s="110">
        <f>Model!E17</f>
        <v>3.373722</v>
      </c>
      <c r="E37" s="109">
        <f>Model!F17</f>
        <v>3.9405788296875</v>
      </c>
      <c r="F37" s="109">
        <f>Model!G17</f>
        <v>3.373722</v>
      </c>
    </row>
    <row r="38">
      <c r="B38" s="33" t="inlineStr">
        <is>
          <t>Operating cost per item in year 3, with AI</t>
        </is>
      </c>
      <c r="C38" s="111">
        <f>Model!D19</f>
        <v>33.2890382016185</v>
      </c>
      <c r="D38" s="112">
        <f>Model!E19</f>
        <v>23.3981366391185</v>
      </c>
      <c r="E38" s="111">
        <f>Model!F19</f>
        <v>19.3836973266185</v>
      </c>
      <c r="F38" s="111">
        <f>Model!G19</f>
        <v>23.3981366391185</v>
      </c>
    </row>
  </sheetData>
  <mergeCells count="2">
    <mergeCell ref="B2:G2"/>
    <mergeCell ref="B17:G17"/>
  </mergeCells>
  <dataValidations count="3">
    <dataValidation sqref="C8 C9 C11 E8 E9 E11" showDropDown="0" showInputMessage="0" showErrorMessage="1" allowBlank="1" errorTitle="Change in points" error="Enter a change between -100% and +100%." type="decimal" operator="between">
      <formula1>-1</formula1>
      <formula2>1</formula2>
    </dataValidation>
    <dataValidation sqref="C10 C12 C14 C15 E10 E12 E14 E15" showDropDown="0" showInputMessage="0" showErrorMessage="1" allowBlank="1" errorTitle="Multiplier" error="Enter a multiplier between 0% and 1000%." type="decimal" operator="between">
      <formula1>0</formula1>
      <formula2>10</formula2>
    </dataValidation>
    <dataValidation sqref="C13 E13" showDropDown="0" showInputMessage="0" showErrorMessage="1" allowBlank="1" errorTitle="Quarters of delay" error="Enter a whole number of quarters from 0 to 8." type="whole" operator="between">
      <formula1>0</formula1>
      <formula2>8</formula2>
    </dataValidation>
  </dataValidations>
  <pageMargins left="0.75" right="0.75" top="1" bottom="1" header="0.5" footer="0.5"/>
  <pageSetup orientation="landscape" fitToHeight="0" fitToWidth="1"/>
</worksheet>
</file>

<file path=xl/worksheets/sheet4.xml><?xml version="1.0" encoding="utf-8"?>
<worksheet xmlns="http://schemas.openxmlformats.org/spreadsheetml/2006/main">
  <sheetPr>
    <tabColor rgb="006F7F95"/>
    <outlinePr summaryBelow="1" summaryRight="1"/>
    <pageSetUpPr fitToPage="1"/>
  </sheetPr>
  <dimension ref="B1:T123"/>
  <sheetViews>
    <sheetView workbookViewId="0">
      <pane xSplit="3" ySplit="3" topLeftCell="D4" activePane="bottomRight" state="frozen"/>
      <selection pane="topRight"/>
      <selection pane="bottomLeft"/>
      <selection pane="bottomRight" activeCell="A1" sqref="A1"/>
    </sheetView>
  </sheetViews>
  <sheetFormatPr baseColWidth="8" defaultRowHeight="15"/>
  <cols>
    <col width="2" customWidth="1" min="1" max="1"/>
    <col width="52" customWidth="1" min="2" max="2"/>
    <col width="11" customWidth="1" min="3" max="3"/>
    <col width="11.5" customWidth="1" min="4" max="4"/>
    <col width="11.5" customWidth="1" min="5" max="5"/>
    <col width="11.5" customWidth="1" min="6" max="6"/>
    <col width="11.5" customWidth="1" min="7" max="7"/>
    <col width="11.5" customWidth="1" min="8" max="8"/>
    <col width="11.5" customWidth="1" min="9" max="9"/>
    <col width="11.5" customWidth="1" min="10" max="10"/>
    <col width="11.5" customWidth="1" min="11" max="11"/>
    <col width="11.5" customWidth="1" min="12" max="12"/>
    <col width="11.5" customWidth="1" min="13" max="13"/>
    <col width="11.5" customWidth="1" min="14" max="14"/>
    <col width="11.5" customWidth="1" min="15" max="15"/>
    <col width="2" customWidth="1" min="16" max="16"/>
    <col width="13" customWidth="1" min="17" max="17"/>
    <col width="13" customWidth="1" min="18" max="18"/>
    <col width="13" customWidth="1" min="19" max="19"/>
    <col width="14" customWidth="1" min="20" max="20"/>
  </cols>
  <sheetData>
    <row r="1" ht="30" customHeight="1">
      <c r="B1" s="24" t="inlineStr">
        <is>
          <t>Model</t>
        </is>
      </c>
      <c r="C1" s="2" t="n"/>
      <c r="D1" s="2" t="n"/>
      <c r="E1" s="2" t="n"/>
      <c r="F1" s="2" t="n"/>
      <c r="G1" s="2" t="n"/>
      <c r="H1" s="2" t="n"/>
      <c r="I1" s="2" t="n"/>
      <c r="J1" s="2" t="n"/>
      <c r="K1" s="2" t="n"/>
      <c r="L1" s="2" t="n"/>
      <c r="M1" s="2" t="n"/>
      <c r="N1" s="2" t="n"/>
      <c r="O1" s="2" t="n"/>
      <c r="P1" s="2" t="n"/>
      <c r="Q1" s="2" t="n"/>
      <c r="R1" s="2" t="n"/>
      <c r="S1" s="2" t="n"/>
      <c r="T1" s="2" t="n"/>
    </row>
    <row r="2" ht="16" customHeight="1">
      <c r="B2" s="23" t="inlineStr">
        <is>
          <t>Everything on this tab is calculated. Change numbers on Inputs and Scenarios, not here. Three years from project start, by quarter. Benefits and costs are both shown as positive numbers.</t>
        </is>
      </c>
    </row>
    <row r="3">
      <c r="B3" s="9" t="str">
        <f>"Numbers in use: "&amp;in_RunMode&amp;".   Scenario analysed: "&amp;in_Scenario&amp;"."</f>
        <v>Numbers in use: Illustrative example.   Scenario analysed: Base.</v>
      </c>
      <c r="J3" s="9" t="str">
        <f>"Model checks: "&amp;ModelChecks</f>
        <v>Model checks: All OK</v>
      </c>
      <c r="Q3" s="31" t="inlineStr">
        <is>
          <t>Item word for sentences:</t>
        </is>
      </c>
      <c r="R3" s="28" t="str">
        <f>IF(LEN(in_ItemName)=0,"item",in_ItemName)</f>
        <v>application</v>
      </c>
    </row>
    <row r="5">
      <c r="B5" s="8" t="inlineStr">
        <is>
          <t>Headline results</t>
        </is>
      </c>
      <c r="C5" s="2" t="n"/>
      <c r="D5" s="2" t="n"/>
      <c r="E5" s="2" t="n"/>
      <c r="F5" s="2" t="n"/>
      <c r="G5" s="2" t="n"/>
      <c r="H5" s="2" t="n"/>
      <c r="I5" s="2" t="n"/>
      <c r="J5" s="2" t="n"/>
      <c r="K5" s="2" t="n"/>
      <c r="L5" s="2" t="n"/>
      <c r="M5" s="2" t="n"/>
      <c r="N5" s="2" t="n"/>
      <c r="O5" s="2" t="n"/>
      <c r="P5" s="2" t="n"/>
      <c r="Q5" s="2" t="n"/>
      <c r="R5" s="2" t="n"/>
      <c r="S5" s="2" t="n"/>
      <c r="T5" s="2" t="n"/>
    </row>
    <row r="6">
      <c r="B6" s="25" t="inlineStr">
        <is>
          <t>Measure</t>
        </is>
      </c>
      <c r="C6" s="26" t="inlineStr"/>
      <c r="D6" s="26" t="inlineStr">
        <is>
          <t>Low</t>
        </is>
      </c>
      <c r="E6" s="26" t="inlineStr">
        <is>
          <t>Base</t>
        </is>
      </c>
      <c r="F6" s="26" t="inlineStr">
        <is>
          <t>High</t>
        </is>
      </c>
      <c r="G6" s="26" t="inlineStr">
        <is>
          <t>Selected</t>
        </is>
      </c>
    </row>
    <row r="7">
      <c r="B7" s="28" t="inlineStr">
        <is>
          <t>3-year net benefit (cash)</t>
        </is>
      </c>
      <c r="D7" s="113">
        <f>T89</f>
        <v>-170542.333617188</v>
      </c>
      <c r="E7" s="114">
        <f>T68</f>
        <v>163292.0748</v>
      </c>
      <c r="F7" s="113">
        <f>T110</f>
        <v>324923.3967075</v>
      </c>
      <c r="G7" s="113">
        <f>CHOOSE(ScenarioIdx,D7,E7,F7)</f>
        <v>163292.0748</v>
      </c>
    </row>
    <row r="8">
      <c r="B8" s="28" t="inlineStr">
        <is>
          <t>3-year net present value (NPV)</t>
        </is>
      </c>
      <c r="D8" s="113">
        <f>T91</f>
        <v>-166679.409523961</v>
      </c>
      <c r="E8" s="114">
        <f>T70</f>
        <v>113792.449549866</v>
      </c>
      <c r="F8" s="113">
        <f>T112</f>
        <v>247753.367730255</v>
      </c>
      <c r="G8" s="113">
        <f>CHOOSE(ScenarioIdx,D8,E8,F8)</f>
        <v>113792.449549866</v>
      </c>
    </row>
    <row r="9">
      <c r="B9" s="28" t="inlineStr">
        <is>
          <t>3-year return on total cost (ROI)</t>
        </is>
      </c>
      <c r="D9" s="115">
        <f>IF(T88&gt;0,T89/T88,"n/a")</f>
        <v>-0.493179352946865</v>
      </c>
      <c r="E9" s="116">
        <f>IF(T67&gt;0,T68/T67,"n/a")</f>
        <v>0.496886203532374</v>
      </c>
      <c r="F9" s="115">
        <f>IF(T109&gt;0,T110/T109,"n/a")</f>
        <v>0.991678875687883</v>
      </c>
      <c r="G9" s="115">
        <f>CHOOSE(ScenarioIdx,D9,E9,F9)</f>
        <v>0.496886203532374</v>
      </c>
    </row>
    <row r="10">
      <c r="B10" s="28" t="inlineStr">
        <is>
          <t>Payback (months from project start)</t>
        </is>
      </c>
      <c r="D10" s="117" t="str">
        <f>IF(AND(T88=0,T83=0),"n/a",IF(O90&lt;=0,"Not within 3 years",IF(COUNT(D94:O94)=0,"Not within 3 years",MAX(D94:O94))))</f>
        <v>Not within 3 years</v>
      </c>
      <c r="E10" s="118">
        <f>IF(AND(T67=0,T62=0),"n/a",IF(O69&lt;=0,"Not within 3 years",IF(COUNT(D73:O73)=0,"Not within 3 years",MAX(D73:O73))))</f>
        <v>23.1337127053485</v>
      </c>
      <c r="F10" s="117">
        <f>IF(AND(T109=0,T104=0),"n/a",IF(O111&lt;=0,"Not within 3 years",IF(COUNT(D115:O115)=0,"Not within 3 years",MAX(D115:O115))))</f>
        <v>18.2181576699222</v>
      </c>
      <c r="G10" s="117">
        <f>CHOOSE(ScenarioIdx,D10,E10,F10)</f>
        <v>23.1337127053485</v>
      </c>
    </row>
    <row r="11">
      <c r="B11" s="28" t="inlineStr">
        <is>
          <t>One-off investment</t>
        </is>
      </c>
      <c r="D11" s="113">
        <f>T87</f>
        <v>162500</v>
      </c>
      <c r="E11" s="114">
        <f>T66</f>
        <v>130000</v>
      </c>
      <c r="F11" s="113">
        <f>T108</f>
        <v>130000</v>
      </c>
      <c r="G11" s="113">
        <f>CHOOSE(ScenarioIdx,D11,E11,F11)</f>
        <v>130000</v>
      </c>
    </row>
    <row r="12">
      <c r="B12" s="28" t="inlineStr">
        <is>
          <t>Total 3-year cost (one-off, running and run cost)</t>
        </is>
      </c>
      <c r="D12" s="113">
        <f>T88</f>
        <v>345801.852</v>
      </c>
      <c r="E12" s="114">
        <f>T67</f>
        <v>328630.728</v>
      </c>
      <c r="F12" s="113">
        <f>T109</f>
        <v>327649.81152</v>
      </c>
      <c r="G12" s="113">
        <f>CHOOSE(ScenarioIdx,D12,E12,F12)</f>
        <v>328630.728</v>
      </c>
    </row>
    <row r="13">
      <c r="B13" s="28" t="inlineStr">
        <is>
          <t>Value of freed time, 3 years</t>
        </is>
      </c>
      <c r="D13" s="113">
        <f>T81</f>
        <v>132885.482132813</v>
      </c>
      <c r="E13" s="114">
        <f>T60</f>
        <v>369308.2428</v>
      </c>
      <c r="F13" s="113">
        <f>T102</f>
        <v>492982.6949775</v>
      </c>
      <c r="G13" s="113">
        <f>CHOOSE(ScenarioIdx,D13,E13,F13)</f>
        <v>369308.2428</v>
      </c>
    </row>
    <row r="14">
      <c r="B14" s="28" t="inlineStr">
        <is>
          <t>Error cost avoided, 3 years</t>
        </is>
      </c>
      <c r="D14" s="113">
        <f>T82</f>
        <v>42374.03625</v>
      </c>
      <c r="E14" s="114">
        <f>T61</f>
        <v>122614.56</v>
      </c>
      <c r="F14" s="113">
        <f>T103</f>
        <v>159590.51325</v>
      </c>
      <c r="G14" s="113">
        <f>CHOOSE(ScenarioIdx,D14,E14,F14)</f>
        <v>122614.56</v>
      </c>
    </row>
    <row r="15">
      <c r="B15" s="28" t="inlineStr">
        <is>
          <t>Running cost in year 3 (AI run, platform, maintenance, evaluation, licences)</t>
        </is>
      </c>
      <c r="D15" s="113">
        <f>S84+S85+S86</f>
        <v>74234.032</v>
      </c>
      <c r="E15" s="114">
        <f>S63+S64+S65</f>
        <v>72822.688</v>
      </c>
      <c r="F15" s="113">
        <f>S105+S106+S107</f>
        <v>72371.05792</v>
      </c>
      <c r="G15" s="113">
        <f>CHOOSE(ScenarioIdx,D15,E15,F15)</f>
        <v>72822.688</v>
      </c>
    </row>
    <row r="16">
      <c r="B16" s="28" t="inlineStr">
        <is>
          <t>Hours freed in year 3</t>
        </is>
      </c>
      <c r="D16" s="119">
        <f>S80</f>
        <v>3012.1331625</v>
      </c>
      <c r="E16" s="120">
        <f>S59</f>
        <v>5397.9552</v>
      </c>
      <c r="F16" s="119">
        <f>S101</f>
        <v>6304.9261275</v>
      </c>
      <c r="G16" s="119">
        <f>CHOOSE(ScenarioIdx,D16,E16,F16)</f>
        <v>5397.9552</v>
      </c>
    </row>
    <row r="17">
      <c r="B17" s="28" t="inlineStr">
        <is>
          <t>Full-time equivalents freed in year 3</t>
        </is>
      </c>
      <c r="D17" s="121">
        <f>IF(in_FTEHours&gt;0,S80/in_FTEHours,0)</f>
        <v>1.8825832265625</v>
      </c>
      <c r="E17" s="122">
        <f>IF(in_FTEHours&gt;0,S59/in_FTEHours,0)</f>
        <v>3.373722</v>
      </c>
      <c r="F17" s="121">
        <f>IF(in_FTEHours&gt;0,S101/in_FTEHours,0)</f>
        <v>3.9405788296875</v>
      </c>
      <c r="G17" s="121">
        <f>CHOOSE(ScenarioIdx,D17,E17,F17)</f>
        <v>3.373722</v>
      </c>
    </row>
    <row r="18">
      <c r="B18" s="28" t="inlineStr">
        <is>
          <t>Operating cost per item in year 3, without AI</t>
        </is>
      </c>
      <c r="D18" s="123">
        <f>IF(S47=0,0,S51/S47)</f>
        <v>39</v>
      </c>
      <c r="E18" s="124">
        <f>IF(S47=0,0,S51/S47)</f>
        <v>39</v>
      </c>
      <c r="F18" s="123">
        <f>IF(S47=0,0,S51/S47)</f>
        <v>39</v>
      </c>
      <c r="G18" s="123">
        <f>CHOOSE(ScenarioIdx,D18,E18,F18)</f>
        <v>39</v>
      </c>
    </row>
    <row r="19">
      <c r="B19" s="28" t="inlineStr">
        <is>
          <t>Operating cost per item in year 3, with AI</t>
        </is>
      </c>
      <c r="D19" s="123">
        <f>IF(S47=0,0,S93/S47)</f>
        <v>33.2890382016185</v>
      </c>
      <c r="E19" s="124">
        <f>IF(S47=0,0,S72/S47)</f>
        <v>23.3981366391185</v>
      </c>
      <c r="F19" s="123">
        <f>IF(S47=0,0,S114/S47)</f>
        <v>19.3836973266185</v>
      </c>
      <c r="G19" s="123">
        <f>CHOOSE(ScenarioIdx,D19,E19,F19)</f>
        <v>23.3981366391185</v>
      </c>
    </row>
    <row r="20">
      <c r="B20" s="28" t="inlineStr">
        <is>
          <t>Items through the AI workflow, 3 years</t>
        </is>
      </c>
      <c r="D20" s="119">
        <f>T78</f>
        <v>19217.25</v>
      </c>
      <c r="E20" s="120">
        <f>T57</f>
        <v>28383</v>
      </c>
      <c r="F20" s="119">
        <f>T99</f>
        <v>29802.15</v>
      </c>
      <c r="G20" s="119">
        <f>CHOOSE(ScenarioIdx,D20,E20,F20)</f>
        <v>28383</v>
      </c>
    </row>
    <row r="22">
      <c r="B22" s="8" t="inlineStr">
        <is>
          <t>Unit economics: per item that goes through the AI workflow</t>
        </is>
      </c>
      <c r="C22" s="2" t="n"/>
      <c r="D22" s="2" t="n"/>
      <c r="E22" s="2" t="n"/>
      <c r="F22" s="2" t="n"/>
      <c r="G22" s="2" t="n"/>
      <c r="H22" s="2" t="n"/>
      <c r="I22" s="2" t="n"/>
      <c r="J22" s="2" t="n"/>
      <c r="K22" s="2" t="n"/>
      <c r="L22" s="2" t="n"/>
      <c r="M22" s="2" t="n"/>
      <c r="N22" s="2" t="n"/>
      <c r="O22" s="2" t="n"/>
      <c r="P22" s="2" t="n"/>
      <c r="Q22" s="2" t="n"/>
      <c r="R22" s="2" t="n"/>
      <c r="S22" s="2" t="n"/>
      <c r="T22" s="2" t="n"/>
    </row>
    <row r="23">
      <c r="B23" s="25" t="inlineStr">
        <is>
          <t>Line</t>
        </is>
      </c>
      <c r="C23" s="26" t="inlineStr"/>
      <c r="D23" s="26" t="inlineStr">
        <is>
          <t>Low</t>
        </is>
      </c>
      <c r="E23" s="26" t="inlineStr">
        <is>
          <t>Base</t>
        </is>
      </c>
      <c r="F23" s="26" t="inlineStr">
        <is>
          <t>High</t>
        </is>
      </c>
    </row>
    <row r="24">
      <c r="B24" s="28" t="inlineStr">
        <is>
          <t>Today: human minutes per item</t>
        </is>
      </c>
      <c r="D24" s="125">
        <f>in_MinsToday</f>
        <v>40</v>
      </c>
      <c r="E24" s="125">
        <f>in_MinsToday</f>
        <v>40</v>
      </c>
      <c r="F24" s="125">
        <f>in_MinsToday</f>
        <v>40</v>
      </c>
    </row>
    <row r="25">
      <c r="B25" s="28" t="inlineStr">
        <is>
          <t>Today: cost of human time per item</t>
        </is>
      </c>
      <c r="D25" s="126">
        <f>D24/60*in_HourlyCost</f>
        <v>30</v>
      </c>
      <c r="E25" s="126">
        <f>E24/60*in_HourlyCost</f>
        <v>30</v>
      </c>
      <c r="F25" s="126">
        <f>F24/60*in_HourlyCost</f>
        <v>30</v>
      </c>
    </row>
    <row r="26">
      <c r="B26" s="28" t="inlineStr">
        <is>
          <t>Today: expected error cost per item</t>
        </is>
      </c>
      <c r="D26" s="126">
        <f>in_ErrRateToday*in_ErrCostToday</f>
        <v>9</v>
      </c>
      <c r="E26" s="126">
        <f>in_ErrRateToday*in_ErrCostToday</f>
        <v>9</v>
      </c>
      <c r="F26" s="126">
        <f>in_ErrRateToday*in_ErrCostToday</f>
        <v>9</v>
      </c>
    </row>
    <row r="27">
      <c r="B27" s="9" t="inlineStr">
        <is>
          <t>Today: operating cost per item</t>
        </is>
      </c>
      <c r="D27" s="127">
        <f>D25+D26</f>
        <v>39</v>
      </c>
      <c r="E27" s="127">
        <f>E25+E26</f>
        <v>39</v>
      </c>
      <c r="F27" s="127">
        <f>F25+F26</f>
        <v>39</v>
      </c>
    </row>
    <row r="28">
      <c r="B28" s="28" t="inlineStr">
        <is>
          <t>With AI: share of items the AI handles</t>
        </is>
      </c>
      <c r="D28" s="128">
        <f>Scenarios!$C$21</f>
        <v>0.7</v>
      </c>
      <c r="E28" s="128">
        <f>Scenarios!$D$21</f>
        <v>0.8</v>
      </c>
      <c r="F28" s="128">
        <f>Scenarios!$E$21</f>
        <v>0.85</v>
      </c>
    </row>
    <row r="29">
      <c r="B29" s="28" t="inlineStr">
        <is>
          <t>With AI: accuracy on the items it handles</t>
        </is>
      </c>
      <c r="D29" s="128">
        <f>Scenarios!$C$20</f>
        <v>0.87</v>
      </c>
      <c r="E29" s="128">
        <f>Scenarios!$D$20</f>
        <v>0.92</v>
      </c>
      <c r="F29" s="128">
        <f>Scenarios!$E$20</f>
        <v>0.94</v>
      </c>
    </row>
    <row r="30">
      <c r="B30" s="28" t="inlineStr">
        <is>
          <t>With AI: minutes to review one item</t>
        </is>
      </c>
      <c r="D30" s="125">
        <f>Scenarios!$C$22</f>
        <v>12</v>
      </c>
      <c r="E30" s="125">
        <f>Scenarios!$D$22</f>
        <v>8</v>
      </c>
      <c r="F30" s="125">
        <f>Scenarios!$E$22</f>
        <v>6.8</v>
      </c>
    </row>
    <row r="31">
      <c r="B31" s="28" t="inlineStr">
        <is>
          <t>With AI: human minutes per AI-handled item (review plus corrections)</t>
        </is>
      </c>
      <c r="D31" s="129">
        <f>in_ReviewRate*(D30+(1-D29)*in_CatchRate*in_FixMins)</f>
        <v>13.6575</v>
      </c>
      <c r="E31" s="129">
        <f>in_ReviewRate*(E30+(1-E29)*in_CatchRate*in_FixMins)</f>
        <v>9.02</v>
      </c>
      <c r="F31" s="129">
        <f>in_ReviewRate*(F30+(1-F29)*in_CatchRate*in_FixMins)</f>
        <v>7.565</v>
      </c>
    </row>
    <row r="32">
      <c r="B32" s="28" t="inlineStr">
        <is>
          <t>With AI: average human minutes per item, escalations included</t>
        </is>
      </c>
      <c r="D32" s="129">
        <f>D28*D31+(1-D28)*D24</f>
        <v>21.56025</v>
      </c>
      <c r="E32" s="129">
        <f>E28*E31+(1-E28)*E24</f>
        <v>15.216</v>
      </c>
      <c r="F32" s="129">
        <f>F28*F31+(1-F28)*F24</f>
        <v>12.43025</v>
      </c>
    </row>
    <row r="33">
      <c r="B33" s="28" t="inlineStr">
        <is>
          <t>Minutes saved per item</t>
        </is>
      </c>
      <c r="D33" s="129">
        <f>D24-D32</f>
        <v>18.43975</v>
      </c>
      <c r="E33" s="129">
        <f>E24-E32</f>
        <v>24.784</v>
      </c>
      <c r="F33" s="129">
        <f>F24-F32</f>
        <v>27.56975</v>
      </c>
    </row>
    <row r="34">
      <c r="B34" s="28" t="inlineStr">
        <is>
          <t>Share of freed time that becomes real value</t>
        </is>
      </c>
      <c r="D34" s="128">
        <f>Scenarios!$C$23</f>
        <v>0.5</v>
      </c>
      <c r="E34" s="128">
        <f>Scenarios!$D$23</f>
        <v>0.7</v>
      </c>
      <c r="F34" s="128">
        <f>Scenarios!$E$23</f>
        <v>0.8</v>
      </c>
    </row>
    <row r="35">
      <c r="B35" s="28" t="inlineStr">
        <is>
          <t>Value of freed time per item</t>
        </is>
      </c>
      <c r="D35" s="130">
        <f>IF(D33&gt;0,D33*D34,D33)/60*in_HourlyCost</f>
        <v>6.91490625</v>
      </c>
      <c r="E35" s="130">
        <f>IF(E33&gt;0,E33*E34,E33)/60*in_HourlyCost</f>
        <v>13.0116</v>
      </c>
      <c r="F35" s="130">
        <f>IF(F33&gt;0,F33*F34,F33)/60*in_HourlyCost</f>
        <v>16.54185</v>
      </c>
    </row>
    <row r="36">
      <c r="B36" s="28" t="inlineStr">
        <is>
          <t>Share of AI-handled items with an error that slips through</t>
        </is>
      </c>
      <c r="D36" s="131">
        <f>(1-D29)*(1-in_ReviewRate*in_CatchRate)</f>
        <v>0.0195</v>
      </c>
      <c r="E36" s="131">
        <f>(1-E29)*(1-in_ReviewRate*in_CatchRate)</f>
        <v>0.012</v>
      </c>
      <c r="F36" s="131">
        <f>(1-F29)*(1-in_ReviewRate*in_CatchRate)</f>
        <v>0.00899999999999999</v>
      </c>
    </row>
    <row r="37">
      <c r="B37" s="28" t="inlineStr">
        <is>
          <t>With AI: expected error cost per item</t>
        </is>
      </c>
      <c r="D37" s="130">
        <f>D28*D36*in_ErrCostAI+(1-D28)*in_ErrRateToday*in_ErrCostToday</f>
        <v>6.795</v>
      </c>
      <c r="E37" s="130">
        <f>E28*E36*in_ErrCostAI+(1-E28)*in_ErrRateToday*in_ErrCostToday</f>
        <v>4.68</v>
      </c>
      <c r="F37" s="130">
        <f>F28*F36*in_ErrCostAI+(1-F28)*in_ErrRateToday*in_ErrCostToday</f>
        <v>3.645</v>
      </c>
    </row>
    <row r="38">
      <c r="B38" s="28" t="inlineStr">
        <is>
          <t>Error cost avoided per item</t>
        </is>
      </c>
      <c r="D38" s="130">
        <f>D26-D37</f>
        <v>2.205</v>
      </c>
      <c r="E38" s="130">
        <f>E26-E37</f>
        <v>4.32</v>
      </c>
      <c r="F38" s="130">
        <f>F26-F37</f>
        <v>5.355</v>
      </c>
    </row>
    <row r="39">
      <c r="B39" s="28" t="inlineStr">
        <is>
          <t>AI run cost per item</t>
        </is>
      </c>
      <c r="D39" s="132">
        <f>Scenarios!$C$26</f>
        <v>0.432</v>
      </c>
      <c r="E39" s="132">
        <f>Scenarios!$D$26</f>
        <v>0.216</v>
      </c>
      <c r="F39" s="132">
        <f>Scenarios!$E$26</f>
        <v>0.1728</v>
      </c>
    </row>
    <row r="40">
      <c r="B40" s="9" t="inlineStr">
        <is>
          <t>Net value per item, before fixed costs</t>
        </is>
      </c>
      <c r="D40" s="133">
        <f>D35+D38-D39</f>
        <v>8.68790625</v>
      </c>
      <c r="E40" s="133">
        <f>E35+E38-E39</f>
        <v>17.1156</v>
      </c>
      <c r="F40" s="133">
        <f>F35+F38-F39</f>
        <v>21.72405</v>
      </c>
    </row>
    <row r="41">
      <c r="B41" s="9" t="inlineStr">
        <is>
          <t>With AI: operating cost per item (people, errors, AI run)</t>
        </is>
      </c>
      <c r="D41" s="133">
        <f>D32/60*in_HourlyCost+D37+D39</f>
        <v>23.3971875</v>
      </c>
      <c r="E41" s="133">
        <f>E32/60*in_HourlyCost+E37+E39</f>
        <v>16.308</v>
      </c>
      <c r="F41" s="133">
        <f>F32/60*in_HourlyCost+F37+F39</f>
        <v>13.1404875</v>
      </c>
    </row>
    <row r="43">
      <c r="B43" s="8" t="inlineStr">
        <is>
          <t>Timeline (shared by all scenarios)</t>
        </is>
      </c>
      <c r="C43" s="2" t="n"/>
      <c r="D43" s="2" t="n"/>
      <c r="E43" s="2" t="n"/>
      <c r="F43" s="2" t="n"/>
      <c r="G43" s="2" t="n"/>
      <c r="H43" s="2" t="n"/>
      <c r="I43" s="2" t="n"/>
      <c r="J43" s="2" t="n"/>
      <c r="K43" s="2" t="n"/>
      <c r="L43" s="2" t="n"/>
      <c r="M43" s="2" t="n"/>
      <c r="N43" s="2" t="n"/>
      <c r="O43" s="2" t="n"/>
      <c r="P43" s="2" t="n"/>
      <c r="Q43" s="2" t="n"/>
      <c r="R43" s="2" t="n"/>
      <c r="S43" s="2" t="n"/>
      <c r="T43" s="2" t="n"/>
    </row>
    <row r="44">
      <c r="B44" s="25" t="inlineStr">
        <is>
          <t>Line</t>
        </is>
      </c>
      <c r="C44" s="26" t="inlineStr">
        <is>
          <t>Unit</t>
        </is>
      </c>
      <c r="D44" s="26" t="inlineStr">
        <is>
          <t>Q1</t>
        </is>
      </c>
      <c r="E44" s="26" t="inlineStr">
        <is>
          <t>Q2</t>
        </is>
      </c>
      <c r="F44" s="26" t="inlineStr">
        <is>
          <t>Q3</t>
        </is>
      </c>
      <c r="G44" s="26" t="inlineStr">
        <is>
          <t>Q4</t>
        </is>
      </c>
      <c r="H44" s="26" t="inlineStr">
        <is>
          <t>Q5</t>
        </is>
      </c>
      <c r="I44" s="26" t="inlineStr">
        <is>
          <t>Q6</t>
        </is>
      </c>
      <c r="J44" s="26" t="inlineStr">
        <is>
          <t>Q7</t>
        </is>
      </c>
      <c r="K44" s="26" t="inlineStr">
        <is>
          <t>Q8</t>
        </is>
      </c>
      <c r="L44" s="26" t="inlineStr">
        <is>
          <t>Q9</t>
        </is>
      </c>
      <c r="M44" s="26" t="inlineStr">
        <is>
          <t>Q10</t>
        </is>
      </c>
      <c r="N44" s="26" t="inlineStr">
        <is>
          <t>Q11</t>
        </is>
      </c>
      <c r="O44" s="26" t="inlineStr">
        <is>
          <t>Q12</t>
        </is>
      </c>
      <c r="Q44" s="25" t="inlineStr">
        <is>
          <t>Year 1</t>
        </is>
      </c>
      <c r="R44" s="26" t="inlineStr">
        <is>
          <t>Year 2</t>
        </is>
      </c>
      <c r="S44" s="26" t="inlineStr">
        <is>
          <t>Year 3</t>
        </is>
      </c>
      <c r="T44" s="26" t="inlineStr">
        <is>
          <t>3 years</t>
        </is>
      </c>
    </row>
    <row r="45">
      <c r="B45" s="28" t="inlineStr">
        <is>
          <t>Quarter number</t>
        </is>
      </c>
      <c r="C45" s="76" t="inlineStr"/>
      <c r="D45" s="134" t="n">
        <v>1</v>
      </c>
      <c r="E45" s="134" t="n">
        <v>2</v>
      </c>
      <c r="F45" s="134" t="n">
        <v>3</v>
      </c>
      <c r="G45" s="134" t="n">
        <v>4</v>
      </c>
      <c r="H45" s="134" t="n">
        <v>5</v>
      </c>
      <c r="I45" s="134" t="n">
        <v>6</v>
      </c>
      <c r="J45" s="134" t="n">
        <v>7</v>
      </c>
      <c r="K45" s="134" t="n">
        <v>8</v>
      </c>
      <c r="L45" s="134" t="n">
        <v>9</v>
      </c>
      <c r="M45" s="134" t="n">
        <v>10</v>
      </c>
      <c r="N45" s="134" t="n">
        <v>11</v>
      </c>
      <c r="O45" s="134" t="n">
        <v>12</v>
      </c>
    </row>
    <row r="46">
      <c r="B46" s="28" t="inlineStr">
        <is>
          <t>Year</t>
        </is>
      </c>
      <c r="C46" s="76" t="inlineStr"/>
      <c r="D46" s="77">
        <f>ROUNDUP(D45/4,0)</f>
        <v>1</v>
      </c>
      <c r="E46" s="77">
        <f>ROUNDUP(E45/4,0)</f>
        <v>1</v>
      </c>
      <c r="F46" s="77">
        <f>ROUNDUP(F45/4,0)</f>
        <v>1</v>
      </c>
      <c r="G46" s="77">
        <f>ROUNDUP(G45/4,0)</f>
        <v>1</v>
      </c>
      <c r="H46" s="77">
        <f>ROUNDUP(H45/4,0)</f>
        <v>2</v>
      </c>
      <c r="I46" s="77">
        <f>ROUNDUP(I45/4,0)</f>
        <v>2</v>
      </c>
      <c r="J46" s="77">
        <f>ROUNDUP(J45/4,0)</f>
        <v>2</v>
      </c>
      <c r="K46" s="77">
        <f>ROUNDUP(K45/4,0)</f>
        <v>2</v>
      </c>
      <c r="L46" s="77">
        <f>ROUNDUP(L45/4,0)</f>
        <v>3</v>
      </c>
      <c r="M46" s="77">
        <f>ROUNDUP(M45/4,0)</f>
        <v>3</v>
      </c>
      <c r="N46" s="77">
        <f>ROUNDUP(N45/4,0)</f>
        <v>3</v>
      </c>
      <c r="O46" s="77">
        <f>ROUNDUP(O45/4,0)</f>
        <v>3</v>
      </c>
    </row>
    <row r="47">
      <c r="B47" s="28" t="inlineStr">
        <is>
          <t>Items in the queue</t>
        </is>
      </c>
      <c r="C47" s="76" t="inlineStr">
        <is>
          <t>items</t>
        </is>
      </c>
      <c r="D47" s="135">
        <f>in_Volume/4*(1+in_Growth)^(D46-1)</f>
        <v>3000</v>
      </c>
      <c r="E47" s="135">
        <f>in_Volume/4*(1+in_Growth)^(E46-1)</f>
        <v>3000</v>
      </c>
      <c r="F47" s="135">
        <f>in_Volume/4*(1+in_Growth)^(F46-1)</f>
        <v>3000</v>
      </c>
      <c r="G47" s="135">
        <f>in_Volume/4*(1+in_Growth)^(G46-1)</f>
        <v>3000</v>
      </c>
      <c r="H47" s="135">
        <f>in_Volume/4*(1+in_Growth)^(H46-1)</f>
        <v>3300</v>
      </c>
      <c r="I47" s="135">
        <f>in_Volume/4*(1+in_Growth)^(I46-1)</f>
        <v>3300</v>
      </c>
      <c r="J47" s="135">
        <f>in_Volume/4*(1+in_Growth)^(J46-1)</f>
        <v>3300</v>
      </c>
      <c r="K47" s="135">
        <f>in_Volume/4*(1+in_Growth)^(K46-1)</f>
        <v>3300</v>
      </c>
      <c r="L47" s="135">
        <f>in_Volume/4*(1+in_Growth)^(L46-1)</f>
        <v>3630</v>
      </c>
      <c r="M47" s="135">
        <f>in_Volume/4*(1+in_Growth)^(M46-1)</f>
        <v>3630</v>
      </c>
      <c r="N47" s="135">
        <f>in_Volume/4*(1+in_Growth)^(N46-1)</f>
        <v>3630</v>
      </c>
      <c r="O47" s="135">
        <f>in_Volume/4*(1+in_Growth)^(O46-1)</f>
        <v>3630</v>
      </c>
      <c r="Q47" s="135">
        <f>SUM(D47:G47)</f>
        <v>12000</v>
      </c>
      <c r="R47" s="135">
        <f>SUM(H47:K47)</f>
        <v>13200</v>
      </c>
      <c r="S47" s="135">
        <f>SUM(L47:O47)</f>
        <v>14520</v>
      </c>
      <c r="T47" s="136">
        <f>SUM(Q47:S47)</f>
        <v>39720</v>
      </c>
    </row>
    <row r="48">
      <c r="B48" s="28" t="inlineStr">
        <is>
          <t>Planned adoption (from Inputs, before delay)</t>
        </is>
      </c>
      <c r="C48" s="76" t="inlineStr">
        <is>
          <t>% vol</t>
        </is>
      </c>
      <c r="D48" s="137">
        <f>in_Ramp1</f>
        <v>0</v>
      </c>
      <c r="E48" s="137">
        <f>in_Ramp2</f>
        <v>0.1</v>
      </c>
      <c r="F48" s="137">
        <f>in_Ramp3</f>
        <v>0.4</v>
      </c>
      <c r="G48" s="137">
        <f>in_Ramp4</f>
        <v>0.7</v>
      </c>
      <c r="H48" s="137">
        <f>in_Ramp5</f>
        <v>0.85</v>
      </c>
      <c r="I48" s="137">
        <f>in_Ramp6</f>
        <v>0.9</v>
      </c>
      <c r="J48" s="137">
        <f>in_Ramp7</f>
        <v>0.9</v>
      </c>
      <c r="K48" s="137">
        <f>in_Ramp8</f>
        <v>0.9</v>
      </c>
      <c r="L48" s="137">
        <f>in_Ramp9</f>
        <v>0.9</v>
      </c>
      <c r="M48" s="137">
        <f>in_Ramp10</f>
        <v>0.9</v>
      </c>
      <c r="N48" s="137">
        <f>in_Ramp11</f>
        <v>0.9</v>
      </c>
      <c r="O48" s="137">
        <f>in_Ramp12</f>
        <v>0.9</v>
      </c>
      <c r="Q48" s="138">
        <f>AVERAGE(D48:G48)</f>
        <v>0.3</v>
      </c>
      <c r="R48" s="138">
        <f>AVERAGE(H48:K48)</f>
        <v>0.8875</v>
      </c>
      <c r="S48" s="138">
        <f>AVERAGE(L48:O48)</f>
        <v>0.9</v>
      </c>
    </row>
    <row r="49">
      <c r="B49" s="28" t="inlineStr">
        <is>
          <t>Live in the plan (1 = yes)</t>
        </is>
      </c>
      <c r="C49" s="76" t="inlineStr">
        <is>
          <t>flag</t>
        </is>
      </c>
      <c r="D49" s="77">
        <f>IF(SUM($D$48:D48)&gt;0,1,0)</f>
        <v>0</v>
      </c>
      <c r="E49" s="77">
        <f>IF(SUM($D$48:E48)&gt;0,1,0)</f>
        <v>1</v>
      </c>
      <c r="F49" s="77">
        <f>IF(SUM($D$48:F48)&gt;0,1,0)</f>
        <v>1</v>
      </c>
      <c r="G49" s="77">
        <f>IF(SUM($D$48:G48)&gt;0,1,0)</f>
        <v>1</v>
      </c>
      <c r="H49" s="77">
        <f>IF(SUM($D$48:H48)&gt;0,1,0)</f>
        <v>1</v>
      </c>
      <c r="I49" s="77">
        <f>IF(SUM($D$48:I48)&gt;0,1,0)</f>
        <v>1</v>
      </c>
      <c r="J49" s="77">
        <f>IF(SUM($D$48:J48)&gt;0,1,0)</f>
        <v>1</v>
      </c>
      <c r="K49" s="77">
        <f>IF(SUM($D$48:K48)&gt;0,1,0)</f>
        <v>1</v>
      </c>
      <c r="L49" s="77">
        <f>IF(SUM($D$48:L48)&gt;0,1,0)</f>
        <v>1</v>
      </c>
      <c r="M49" s="77">
        <f>IF(SUM($D$48:M48)&gt;0,1,0)</f>
        <v>1</v>
      </c>
      <c r="N49" s="77">
        <f>IF(SUM($D$48:N48)&gt;0,1,0)</f>
        <v>1</v>
      </c>
      <c r="O49" s="77">
        <f>IF(SUM($D$48:O48)&gt;0,1,0)</f>
        <v>1</v>
      </c>
    </row>
    <row r="50">
      <c r="B50" s="28" t="inlineStr">
        <is>
          <t>Discount factor (end of quarter)</t>
        </is>
      </c>
      <c r="C50" s="76" t="inlineStr">
        <is>
          <t>factor</t>
        </is>
      </c>
      <c r="D50" s="139">
        <f>1/(1+in_DiscountRate)^(D45/4)</f>
        <v>0.976454089676311</v>
      </c>
      <c r="E50" s="139">
        <f>1/(1+in_DiscountRate)^(E45/4)</f>
        <v>0.953462589245592</v>
      </c>
      <c r="F50" s="139">
        <f>1/(1+in_DiscountRate)^(F45/4)</f>
        <v>0.931012444622223</v>
      </c>
      <c r="G50" s="139">
        <f>1/(1+in_DiscountRate)^(G45/4)</f>
        <v>0.909090909090909</v>
      </c>
      <c r="H50" s="139">
        <f>1/(1+in_DiscountRate)^(H45/4)</f>
        <v>0.887685536069373</v>
      </c>
      <c r="I50" s="139">
        <f>1/(1+in_DiscountRate)^(I45/4)</f>
        <v>0.866784172041447</v>
      </c>
      <c r="J50" s="139">
        <f>1/(1+in_DiscountRate)^(J45/4)</f>
        <v>0.846374949656566</v>
      </c>
      <c r="K50" s="139">
        <f>1/(1+in_DiscountRate)^(K45/4)</f>
        <v>0.826446280991735</v>
      </c>
      <c r="L50" s="139">
        <f>1/(1+in_DiscountRate)^(L45/4)</f>
        <v>0.806986850972157</v>
      </c>
      <c r="M50" s="139">
        <f>1/(1+in_DiscountRate)^(M45/4)</f>
        <v>0.78798561094677</v>
      </c>
      <c r="N50" s="139">
        <f>1/(1+in_DiscountRate)^(N45/4)</f>
        <v>0.76943177241506</v>
      </c>
      <c r="O50" s="139">
        <f>1/(1+in_DiscountRate)^(O45/4)</f>
        <v>0.751314800901578</v>
      </c>
    </row>
    <row r="51">
      <c r="B51" s="28" t="inlineStr">
        <is>
          <t>Operating cost of the queue without AI</t>
        </is>
      </c>
      <c r="C51" s="76" t="inlineStr">
        <is>
          <t>£</t>
        </is>
      </c>
      <c r="D51" s="140">
        <f>D47*$E$27</f>
        <v>117000</v>
      </c>
      <c r="E51" s="140">
        <f>E47*$E$27</f>
        <v>117000</v>
      </c>
      <c r="F51" s="140">
        <f>F47*$E$27</f>
        <v>117000</v>
      </c>
      <c r="G51" s="140">
        <f>G47*$E$27</f>
        <v>117000</v>
      </c>
      <c r="H51" s="140">
        <f>H47*$E$27</f>
        <v>128700</v>
      </c>
      <c r="I51" s="140">
        <f>I47*$E$27</f>
        <v>128700</v>
      </c>
      <c r="J51" s="140">
        <f>J47*$E$27</f>
        <v>128700</v>
      </c>
      <c r="K51" s="140">
        <f>K47*$E$27</f>
        <v>128700</v>
      </c>
      <c r="L51" s="140">
        <f>L47*$E$27</f>
        <v>141570</v>
      </c>
      <c r="M51" s="140">
        <f>M47*$E$27</f>
        <v>141570</v>
      </c>
      <c r="N51" s="140">
        <f>N47*$E$27</f>
        <v>141570</v>
      </c>
      <c r="O51" s="140">
        <f>O47*$E$27</f>
        <v>141570</v>
      </c>
      <c r="Q51" s="140">
        <f>SUM(D51:G51)</f>
        <v>468000</v>
      </c>
      <c r="R51" s="140">
        <f>SUM(H51:K51)</f>
        <v>514800</v>
      </c>
      <c r="S51" s="140">
        <f>SUM(L51:O51)</f>
        <v>566280</v>
      </c>
      <c r="T51" s="141">
        <f>SUM(Q51:S51)</f>
        <v>1549080</v>
      </c>
    </row>
    <row r="52">
      <c r="B52" s="9" t="inlineStr">
        <is>
          <t>Go-live quarter in the plan (99 means nothing goes live)</t>
        </is>
      </c>
      <c r="C52" s="76" t="inlineStr">
        <is>
          <t>quarter</t>
        </is>
      </c>
      <c r="D52" s="96">
        <f>IF(SUM(D49:O49)=0,99,13-SUM(D49:O49))</f>
        <v>2</v>
      </c>
    </row>
    <row r="54">
      <c r="B54" s="8" t="inlineStr">
        <is>
          <t>Base case: quarter by quarter</t>
        </is>
      </c>
      <c r="C54" s="2" t="n"/>
      <c r="D54" s="2" t="n"/>
      <c r="E54" s="2" t="n"/>
      <c r="F54" s="2" t="n"/>
      <c r="G54" s="2" t="n"/>
      <c r="H54" s="2" t="n"/>
      <c r="I54" s="2" t="n"/>
      <c r="J54" s="2" t="n"/>
      <c r="K54" s="2" t="n"/>
      <c r="L54" s="2" t="n"/>
      <c r="M54" s="2" t="n"/>
      <c r="N54" s="2" t="n"/>
      <c r="O54" s="2" t="n"/>
      <c r="P54" s="2" t="n"/>
      <c r="Q54" s="2" t="n"/>
      <c r="R54" s="2" t="n"/>
      <c r="S54" s="2" t="n"/>
      <c r="T54" s="2" t="n"/>
    </row>
    <row r="55">
      <c r="B55" s="25" t="inlineStr">
        <is>
          <t>Line</t>
        </is>
      </c>
      <c r="C55" s="26" t="inlineStr">
        <is>
          <t>Unit</t>
        </is>
      </c>
      <c r="D55" s="26" t="inlineStr">
        <is>
          <t>Q1</t>
        </is>
      </c>
      <c r="E55" s="26" t="inlineStr">
        <is>
          <t>Q2</t>
        </is>
      </c>
      <c r="F55" s="26" t="inlineStr">
        <is>
          <t>Q3</t>
        </is>
      </c>
      <c r="G55" s="26" t="inlineStr">
        <is>
          <t>Q4</t>
        </is>
      </c>
      <c r="H55" s="26" t="inlineStr">
        <is>
          <t>Q5</t>
        </is>
      </c>
      <c r="I55" s="26" t="inlineStr">
        <is>
          <t>Q6</t>
        </is>
      </c>
      <c r="J55" s="26" t="inlineStr">
        <is>
          <t>Q7</t>
        </is>
      </c>
      <c r="K55" s="26" t="inlineStr">
        <is>
          <t>Q8</t>
        </is>
      </c>
      <c r="L55" s="26" t="inlineStr">
        <is>
          <t>Q9</t>
        </is>
      </c>
      <c r="M55" s="26" t="inlineStr">
        <is>
          <t>Q10</t>
        </is>
      </c>
      <c r="N55" s="26" t="inlineStr">
        <is>
          <t>Q11</t>
        </is>
      </c>
      <c r="O55" s="26" t="inlineStr">
        <is>
          <t>Q12</t>
        </is>
      </c>
      <c r="Q55" s="25" t="inlineStr">
        <is>
          <t>Year 1</t>
        </is>
      </c>
      <c r="R55" s="26" t="inlineStr">
        <is>
          <t>Year 2</t>
        </is>
      </c>
      <c r="S55" s="26" t="inlineStr">
        <is>
          <t>Year 3</t>
        </is>
      </c>
      <c r="T55" s="26" t="inlineStr">
        <is>
          <t>3 years</t>
        </is>
      </c>
    </row>
    <row r="56">
      <c r="B56" s="28" t="inlineStr">
        <is>
          <t>Share of volume through the AI workflow</t>
        </is>
      </c>
      <c r="C56" s="76" t="inlineStr">
        <is>
          <t>% vol</t>
        </is>
      </c>
      <c r="D56" s="138">
        <f>MIN(1,(D$45-Scenarios!$D$25&gt;=1)*INDEX($D$48:$O$48,1,MAX(1,D$45-Scenarios!$D$25))*Scenarios!$D$24)</f>
        <v>0</v>
      </c>
      <c r="E56" s="138">
        <f>MIN(1,(E$45-Scenarios!$D$25&gt;=1)*INDEX($D$48:$O$48,1,MAX(1,E$45-Scenarios!$D$25))*Scenarios!$D$24)</f>
        <v>0.1</v>
      </c>
      <c r="F56" s="138">
        <f>MIN(1,(F$45-Scenarios!$D$25&gt;=1)*INDEX($D$48:$O$48,1,MAX(1,F$45-Scenarios!$D$25))*Scenarios!$D$24)</f>
        <v>0.4</v>
      </c>
      <c r="G56" s="138">
        <f>MIN(1,(G$45-Scenarios!$D$25&gt;=1)*INDEX($D$48:$O$48,1,MAX(1,G$45-Scenarios!$D$25))*Scenarios!$D$24)</f>
        <v>0.7</v>
      </c>
      <c r="H56" s="138">
        <f>MIN(1,(H$45-Scenarios!$D$25&gt;=1)*INDEX($D$48:$O$48,1,MAX(1,H$45-Scenarios!$D$25))*Scenarios!$D$24)</f>
        <v>0.85</v>
      </c>
      <c r="I56" s="138">
        <f>MIN(1,(I$45-Scenarios!$D$25&gt;=1)*INDEX($D$48:$O$48,1,MAX(1,I$45-Scenarios!$D$25))*Scenarios!$D$24)</f>
        <v>0.9</v>
      </c>
      <c r="J56" s="138">
        <f>MIN(1,(J$45-Scenarios!$D$25&gt;=1)*INDEX($D$48:$O$48,1,MAX(1,J$45-Scenarios!$D$25))*Scenarios!$D$24)</f>
        <v>0.9</v>
      </c>
      <c r="K56" s="138">
        <f>MIN(1,(K$45-Scenarios!$D$25&gt;=1)*INDEX($D$48:$O$48,1,MAX(1,K$45-Scenarios!$D$25))*Scenarios!$D$24)</f>
        <v>0.9</v>
      </c>
      <c r="L56" s="138">
        <f>MIN(1,(L$45-Scenarios!$D$25&gt;=1)*INDEX($D$48:$O$48,1,MAX(1,L$45-Scenarios!$D$25))*Scenarios!$D$24)</f>
        <v>0.9</v>
      </c>
      <c r="M56" s="138">
        <f>MIN(1,(M$45-Scenarios!$D$25&gt;=1)*INDEX($D$48:$O$48,1,MAX(1,M$45-Scenarios!$D$25))*Scenarios!$D$24)</f>
        <v>0.9</v>
      </c>
      <c r="N56" s="138">
        <f>MIN(1,(N$45-Scenarios!$D$25&gt;=1)*INDEX($D$48:$O$48,1,MAX(1,N$45-Scenarios!$D$25))*Scenarios!$D$24)</f>
        <v>0.9</v>
      </c>
      <c r="O56" s="138">
        <f>MIN(1,(O$45-Scenarios!$D$25&gt;=1)*INDEX($D$48:$O$48,1,MAX(1,O$45-Scenarios!$D$25))*Scenarios!$D$24)</f>
        <v>0.9</v>
      </c>
      <c r="Q56" s="138">
        <f>IF(SUM(D47:G47)=0,0,Q57/Q47)</f>
        <v>0.3</v>
      </c>
      <c r="R56" s="138">
        <f>IF(SUM(H47:K47)=0,0,R57/R47)</f>
        <v>0.8875</v>
      </c>
      <c r="S56" s="138">
        <f>IF(SUM(L47:O47)=0,0,S57/S47)</f>
        <v>0.9</v>
      </c>
      <c r="T56" s="142">
        <f>IF(T47=0,0,T57/T47)</f>
        <v>0.714577039274925</v>
      </c>
    </row>
    <row r="57">
      <c r="B57" s="28" t="inlineStr">
        <is>
          <t>Items through the AI workflow</t>
        </is>
      </c>
      <c r="C57" s="76" t="inlineStr">
        <is>
          <t>items</t>
        </is>
      </c>
      <c r="D57" s="135">
        <f>D$47*D56</f>
        <v>0</v>
      </c>
      <c r="E57" s="135">
        <f>E$47*E56</f>
        <v>300</v>
      </c>
      <c r="F57" s="135">
        <f>F$47*F56</f>
        <v>1200</v>
      </c>
      <c r="G57" s="135">
        <f>G$47*G56</f>
        <v>2100</v>
      </c>
      <c r="H57" s="135">
        <f>H$47*H56</f>
        <v>2805</v>
      </c>
      <c r="I57" s="135">
        <f>I$47*I56</f>
        <v>2970</v>
      </c>
      <c r="J57" s="135">
        <f>J$47*J56</f>
        <v>2970</v>
      </c>
      <c r="K57" s="135">
        <f>K$47*K56</f>
        <v>2970</v>
      </c>
      <c r="L57" s="135">
        <f>L$47*L56</f>
        <v>3267</v>
      </c>
      <c r="M57" s="135">
        <f>M$47*M56</f>
        <v>3267</v>
      </c>
      <c r="N57" s="135">
        <f>N$47*N56</f>
        <v>3267</v>
      </c>
      <c r="O57" s="135">
        <f>O$47*O56</f>
        <v>3267</v>
      </c>
      <c r="Q57" s="135">
        <f>SUM(D57:G57)</f>
        <v>3600</v>
      </c>
      <c r="R57" s="135">
        <f>SUM(H57:K57)</f>
        <v>11715</v>
      </c>
      <c r="S57" s="135">
        <f>SUM(L57:O57)</f>
        <v>13068</v>
      </c>
      <c r="T57" s="136">
        <f>SUM(Q57:S57)</f>
        <v>28383</v>
      </c>
    </row>
    <row r="58">
      <c r="B58" s="28" t="inlineStr">
        <is>
          <t>Live: platform and ongoing costs running (1 = yes)</t>
        </is>
      </c>
      <c r="C58" s="76" t="inlineStr">
        <is>
          <t>flag</t>
        </is>
      </c>
      <c r="D58" s="77">
        <f>IF(D$45-Scenarios!$D$25&gt;=GoLiveQ,1,0)</f>
        <v>0</v>
      </c>
      <c r="E58" s="77">
        <f>IF(E$45-Scenarios!$D$25&gt;=GoLiveQ,1,0)</f>
        <v>1</v>
      </c>
      <c r="F58" s="77">
        <f>IF(F$45-Scenarios!$D$25&gt;=GoLiveQ,1,0)</f>
        <v>1</v>
      </c>
      <c r="G58" s="77">
        <f>IF(G$45-Scenarios!$D$25&gt;=GoLiveQ,1,0)</f>
        <v>1</v>
      </c>
      <c r="H58" s="77">
        <f>IF(H$45-Scenarios!$D$25&gt;=GoLiveQ,1,0)</f>
        <v>1</v>
      </c>
      <c r="I58" s="77">
        <f>IF(I$45-Scenarios!$D$25&gt;=GoLiveQ,1,0)</f>
        <v>1</v>
      </c>
      <c r="J58" s="77">
        <f>IF(J$45-Scenarios!$D$25&gt;=GoLiveQ,1,0)</f>
        <v>1</v>
      </c>
      <c r="K58" s="77">
        <f>IF(K$45-Scenarios!$D$25&gt;=GoLiveQ,1,0)</f>
        <v>1</v>
      </c>
      <c r="L58" s="77">
        <f>IF(L$45-Scenarios!$D$25&gt;=GoLiveQ,1,0)</f>
        <v>1</v>
      </c>
      <c r="M58" s="77">
        <f>IF(M$45-Scenarios!$D$25&gt;=GoLiveQ,1,0)</f>
        <v>1</v>
      </c>
      <c r="N58" s="77">
        <f>IF(N$45-Scenarios!$D$25&gt;=GoLiveQ,1,0)</f>
        <v>1</v>
      </c>
      <c r="O58" s="77">
        <f>IF(O$45-Scenarios!$D$25&gt;=GoLiveQ,1,0)</f>
        <v>1</v>
      </c>
    </row>
    <row r="59">
      <c r="B59" s="28" t="inlineStr">
        <is>
          <t>Hours freed</t>
        </is>
      </c>
      <c r="C59" s="76" t="inlineStr">
        <is>
          <t>hours</t>
        </is>
      </c>
      <c r="D59" s="135">
        <f>D57*$E$33/60</f>
        <v>0</v>
      </c>
      <c r="E59" s="135">
        <f>E57*$E$33/60</f>
        <v>123.92</v>
      </c>
      <c r="F59" s="135">
        <f>F57*$E$33/60</f>
        <v>495.68</v>
      </c>
      <c r="G59" s="135">
        <f>G57*$E$33/60</f>
        <v>867.44</v>
      </c>
      <c r="H59" s="135">
        <f>H57*$E$33/60</f>
        <v>1158.652</v>
      </c>
      <c r="I59" s="135">
        <f>I57*$E$33/60</f>
        <v>1226.808</v>
      </c>
      <c r="J59" s="135">
        <f>J57*$E$33/60</f>
        <v>1226.808</v>
      </c>
      <c r="K59" s="135">
        <f>K57*$E$33/60</f>
        <v>1226.808</v>
      </c>
      <c r="L59" s="135">
        <f>L57*$E$33/60</f>
        <v>1349.4888</v>
      </c>
      <c r="M59" s="135">
        <f>M57*$E$33/60</f>
        <v>1349.4888</v>
      </c>
      <c r="N59" s="135">
        <f>N57*$E$33/60</f>
        <v>1349.4888</v>
      </c>
      <c r="O59" s="135">
        <f>O57*$E$33/60</f>
        <v>1349.4888</v>
      </c>
      <c r="Q59" s="135">
        <f>SUM(D59:G59)</f>
        <v>1487.04</v>
      </c>
      <c r="R59" s="135">
        <f>SUM(H59:K59)</f>
        <v>4839.076</v>
      </c>
      <c r="S59" s="135">
        <f>SUM(L59:O59)</f>
        <v>5397.9552</v>
      </c>
      <c r="T59" s="136">
        <f>SUM(Q59:S59)</f>
        <v>11724.0712</v>
      </c>
    </row>
    <row r="60">
      <c r="B60" s="28" t="inlineStr">
        <is>
          <t>Value of freed time</t>
        </is>
      </c>
      <c r="C60" s="76" t="inlineStr">
        <is>
          <t>£</t>
        </is>
      </c>
      <c r="D60" s="140">
        <f>D57*$E$35</f>
        <v>0</v>
      </c>
      <c r="E60" s="140">
        <f>E57*$E$35</f>
        <v>3903.48</v>
      </c>
      <c r="F60" s="140">
        <f>F57*$E$35</f>
        <v>15613.92</v>
      </c>
      <c r="G60" s="140">
        <f>G57*$E$35</f>
        <v>27324.36</v>
      </c>
      <c r="H60" s="140">
        <f>H57*$E$35</f>
        <v>36497.538</v>
      </c>
      <c r="I60" s="140">
        <f>I57*$E$35</f>
        <v>38644.452</v>
      </c>
      <c r="J60" s="140">
        <f>J57*$E$35</f>
        <v>38644.452</v>
      </c>
      <c r="K60" s="140">
        <f>K57*$E$35</f>
        <v>38644.452</v>
      </c>
      <c r="L60" s="140">
        <f>L57*$E$35</f>
        <v>42508.8972</v>
      </c>
      <c r="M60" s="140">
        <f>M57*$E$35</f>
        <v>42508.8972</v>
      </c>
      <c r="N60" s="140">
        <f>N57*$E$35</f>
        <v>42508.8972</v>
      </c>
      <c r="O60" s="140">
        <f>O57*$E$35</f>
        <v>42508.8972</v>
      </c>
      <c r="Q60" s="140">
        <f>SUM(D60:G60)</f>
        <v>46841.76</v>
      </c>
      <c r="R60" s="140">
        <f>SUM(H60:K60)</f>
        <v>152430.894</v>
      </c>
      <c r="S60" s="140">
        <f>SUM(L60:O60)</f>
        <v>170035.5888</v>
      </c>
      <c r="T60" s="141">
        <f>SUM(Q60:S60)</f>
        <v>369308.2428</v>
      </c>
    </row>
    <row r="61">
      <c r="B61" s="28" t="inlineStr">
        <is>
          <t>Error cost avoided</t>
        </is>
      </c>
      <c r="C61" s="76" t="inlineStr">
        <is>
          <t>£</t>
        </is>
      </c>
      <c r="D61" s="140">
        <f>D57*$E$38</f>
        <v>0</v>
      </c>
      <c r="E61" s="140">
        <f>E57*$E$38</f>
        <v>1296</v>
      </c>
      <c r="F61" s="140">
        <f>F57*$E$38</f>
        <v>5184</v>
      </c>
      <c r="G61" s="140">
        <f>G57*$E$38</f>
        <v>9072</v>
      </c>
      <c r="H61" s="140">
        <f>H57*$E$38</f>
        <v>12117.6</v>
      </c>
      <c r="I61" s="140">
        <f>I57*$E$38</f>
        <v>12830.4</v>
      </c>
      <c r="J61" s="140">
        <f>J57*$E$38</f>
        <v>12830.4</v>
      </c>
      <c r="K61" s="140">
        <f>K57*$E$38</f>
        <v>12830.4</v>
      </c>
      <c r="L61" s="140">
        <f>L57*$E$38</f>
        <v>14113.44</v>
      </c>
      <c r="M61" s="140">
        <f>M57*$E$38</f>
        <v>14113.44</v>
      </c>
      <c r="N61" s="140">
        <f>N57*$E$38</f>
        <v>14113.44</v>
      </c>
      <c r="O61" s="140">
        <f>O57*$E$38</f>
        <v>14113.44</v>
      </c>
      <c r="Q61" s="140">
        <f>SUM(D61:G61)</f>
        <v>15552</v>
      </c>
      <c r="R61" s="140">
        <f>SUM(H61:K61)</f>
        <v>50608.8</v>
      </c>
      <c r="S61" s="140">
        <f>SUM(L61:O61)</f>
        <v>56453.76</v>
      </c>
      <c r="T61" s="141">
        <f>SUM(Q61:S61)</f>
        <v>122614.56</v>
      </c>
    </row>
    <row r="62">
      <c r="B62" s="9" t="inlineStr">
        <is>
          <t>Total benefits</t>
        </is>
      </c>
      <c r="C62" s="76" t="inlineStr">
        <is>
          <t>£</t>
        </is>
      </c>
      <c r="D62" s="141">
        <f>D60+D61</f>
        <v>0</v>
      </c>
      <c r="E62" s="141">
        <f>E60+E61</f>
        <v>5199.48</v>
      </c>
      <c r="F62" s="141">
        <f>F60+F61</f>
        <v>20797.92</v>
      </c>
      <c r="G62" s="141">
        <f>G60+G61</f>
        <v>36396.36</v>
      </c>
      <c r="H62" s="141">
        <f>H60+H61</f>
        <v>48615.138</v>
      </c>
      <c r="I62" s="141">
        <f>I60+I61</f>
        <v>51474.852</v>
      </c>
      <c r="J62" s="141">
        <f>J60+J61</f>
        <v>51474.852</v>
      </c>
      <c r="K62" s="141">
        <f>K60+K61</f>
        <v>51474.852</v>
      </c>
      <c r="L62" s="141">
        <f>L60+L61</f>
        <v>56622.3372</v>
      </c>
      <c r="M62" s="141">
        <f>M60+M61</f>
        <v>56622.3372</v>
      </c>
      <c r="N62" s="141">
        <f>N60+N61</f>
        <v>56622.3372</v>
      </c>
      <c r="O62" s="141">
        <f>O60+O61</f>
        <v>56622.3372</v>
      </c>
      <c r="Q62" s="141">
        <f>SUM(D62:G62)</f>
        <v>62393.76</v>
      </c>
      <c r="R62" s="141">
        <f>SUM(H62:K62)</f>
        <v>203039.694</v>
      </c>
      <c r="S62" s="141">
        <f>SUM(L62:O62)</f>
        <v>226489.3488</v>
      </c>
      <c r="T62" s="141">
        <f>SUM(Q62:S62)</f>
        <v>491922.8028</v>
      </c>
    </row>
    <row r="63">
      <c r="B63" s="28" t="inlineStr">
        <is>
          <t>AI run cost</t>
        </is>
      </c>
      <c r="C63" s="76" t="inlineStr">
        <is>
          <t>£</t>
        </is>
      </c>
      <c r="D63" s="140">
        <f>D57*$E$39</f>
        <v>0</v>
      </c>
      <c r="E63" s="140">
        <f>E57*$E$39</f>
        <v>64.8</v>
      </c>
      <c r="F63" s="140">
        <f>F57*$E$39</f>
        <v>259.2</v>
      </c>
      <c r="G63" s="140">
        <f>G57*$E$39</f>
        <v>453.6</v>
      </c>
      <c r="H63" s="140">
        <f>H57*$E$39</f>
        <v>605.88</v>
      </c>
      <c r="I63" s="140">
        <f>I57*$E$39</f>
        <v>641.52</v>
      </c>
      <c r="J63" s="140">
        <f>J57*$E$39</f>
        <v>641.52</v>
      </c>
      <c r="K63" s="140">
        <f>K57*$E$39</f>
        <v>641.52</v>
      </c>
      <c r="L63" s="140">
        <f>L57*$E$39</f>
        <v>705.672</v>
      </c>
      <c r="M63" s="140">
        <f>M57*$E$39</f>
        <v>705.672</v>
      </c>
      <c r="N63" s="140">
        <f>N57*$E$39</f>
        <v>705.672</v>
      </c>
      <c r="O63" s="140">
        <f>O57*$E$39</f>
        <v>705.672</v>
      </c>
      <c r="Q63" s="140">
        <f>SUM(D63:G63)</f>
        <v>777.6</v>
      </c>
      <c r="R63" s="140">
        <f>SUM(H63:K63)</f>
        <v>2530.44</v>
      </c>
      <c r="S63" s="140">
        <f>SUM(L63:O63)</f>
        <v>2822.688</v>
      </c>
      <c r="T63" s="141">
        <f>SUM(Q63:S63)</f>
        <v>6130.728</v>
      </c>
    </row>
    <row r="64">
      <c r="B64" s="28" t="inlineStr">
        <is>
          <t>Platform and hosting</t>
        </is>
      </c>
      <c r="C64" s="76" t="inlineStr">
        <is>
          <t>£</t>
        </is>
      </c>
      <c r="D64" s="140">
        <f>D58*in_Platform*3</f>
        <v>0</v>
      </c>
      <c r="E64" s="140">
        <f>E58*in_Platform*3</f>
        <v>4500</v>
      </c>
      <c r="F64" s="140">
        <f>F58*in_Platform*3</f>
        <v>4500</v>
      </c>
      <c r="G64" s="140">
        <f>G58*in_Platform*3</f>
        <v>4500</v>
      </c>
      <c r="H64" s="140">
        <f>H58*in_Platform*3</f>
        <v>4500</v>
      </c>
      <c r="I64" s="140">
        <f>I58*in_Platform*3</f>
        <v>4500</v>
      </c>
      <c r="J64" s="140">
        <f>J58*in_Platform*3</f>
        <v>4500</v>
      </c>
      <c r="K64" s="140">
        <f>K58*in_Platform*3</f>
        <v>4500</v>
      </c>
      <c r="L64" s="140">
        <f>L58*in_Platform*3</f>
        <v>4500</v>
      </c>
      <c r="M64" s="140">
        <f>M58*in_Platform*3</f>
        <v>4500</v>
      </c>
      <c r="N64" s="140">
        <f>N58*in_Platform*3</f>
        <v>4500</v>
      </c>
      <c r="O64" s="140">
        <f>O58*in_Platform*3</f>
        <v>4500</v>
      </c>
      <c r="Q64" s="140">
        <f>SUM(D64:G64)</f>
        <v>13500</v>
      </c>
      <c r="R64" s="140">
        <f>SUM(H64:K64)</f>
        <v>18000</v>
      </c>
      <c r="S64" s="140">
        <f>SUM(L64:O64)</f>
        <v>18000</v>
      </c>
      <c r="T64" s="141">
        <f>SUM(Q64:S64)</f>
        <v>49500</v>
      </c>
    </row>
    <row r="65">
      <c r="B65" s="28" t="inlineStr">
        <is>
          <t>Maintenance, evaluation upkeep and licences</t>
        </is>
      </c>
      <c r="C65" s="76" t="inlineStr">
        <is>
          <t>£</t>
        </is>
      </c>
      <c r="D65" s="140">
        <f>D58*in_OngoingAnnual/4</f>
        <v>0</v>
      </c>
      <c r="E65" s="140">
        <f>E58*in_OngoingAnnual/4</f>
        <v>13000</v>
      </c>
      <c r="F65" s="140">
        <f>F58*in_OngoingAnnual/4</f>
        <v>13000</v>
      </c>
      <c r="G65" s="140">
        <f>G58*in_OngoingAnnual/4</f>
        <v>13000</v>
      </c>
      <c r="H65" s="140">
        <f>H58*in_OngoingAnnual/4</f>
        <v>13000</v>
      </c>
      <c r="I65" s="140">
        <f>I58*in_OngoingAnnual/4</f>
        <v>13000</v>
      </c>
      <c r="J65" s="140">
        <f>J58*in_OngoingAnnual/4</f>
        <v>13000</v>
      </c>
      <c r="K65" s="140">
        <f>K58*in_OngoingAnnual/4</f>
        <v>13000</v>
      </c>
      <c r="L65" s="140">
        <f>L58*in_OngoingAnnual/4</f>
        <v>13000</v>
      </c>
      <c r="M65" s="140">
        <f>M58*in_OngoingAnnual/4</f>
        <v>13000</v>
      </c>
      <c r="N65" s="140">
        <f>N58*in_OngoingAnnual/4</f>
        <v>13000</v>
      </c>
      <c r="O65" s="140">
        <f>O58*in_OngoingAnnual/4</f>
        <v>13000</v>
      </c>
      <c r="Q65" s="140">
        <f>SUM(D65:G65)</f>
        <v>39000</v>
      </c>
      <c r="R65" s="140">
        <f>SUM(H65:K65)</f>
        <v>52000</v>
      </c>
      <c r="S65" s="140">
        <f>SUM(L65:O65)</f>
        <v>52000</v>
      </c>
      <c r="T65" s="141">
        <f>SUM(Q65:S65)</f>
        <v>143000</v>
      </c>
    </row>
    <row r="66">
      <c r="B66" s="28" t="inlineStr">
        <is>
          <t>One-off costs</t>
        </is>
      </c>
      <c r="C66" s="76" t="inlineStr">
        <is>
          <t>£</t>
        </is>
      </c>
      <c r="D66" s="140">
        <f>IF(D$45&lt;=in_Spread,Scenarios!$D$27/in_Spread,0)</f>
        <v>65000</v>
      </c>
      <c r="E66" s="140">
        <f>IF(E$45&lt;=in_Spread,Scenarios!$D$27/in_Spread,0)</f>
        <v>65000</v>
      </c>
      <c r="F66" s="140">
        <f>IF(F$45&lt;=in_Spread,Scenarios!$D$27/in_Spread,0)</f>
        <v>0</v>
      </c>
      <c r="G66" s="140">
        <f>IF(G$45&lt;=in_Spread,Scenarios!$D$27/in_Spread,0)</f>
        <v>0</v>
      </c>
      <c r="H66" s="140">
        <f>IF(H$45&lt;=in_Spread,Scenarios!$D$27/in_Spread,0)</f>
        <v>0</v>
      </c>
      <c r="I66" s="140">
        <f>IF(I$45&lt;=in_Spread,Scenarios!$D$27/in_Spread,0)</f>
        <v>0</v>
      </c>
      <c r="J66" s="140">
        <f>IF(J$45&lt;=in_Spread,Scenarios!$D$27/in_Spread,0)</f>
        <v>0</v>
      </c>
      <c r="K66" s="140">
        <f>IF(K$45&lt;=in_Spread,Scenarios!$D$27/in_Spread,0)</f>
        <v>0</v>
      </c>
      <c r="L66" s="140">
        <f>IF(L$45&lt;=in_Spread,Scenarios!$D$27/in_Spread,0)</f>
        <v>0</v>
      </c>
      <c r="M66" s="140">
        <f>IF(M$45&lt;=in_Spread,Scenarios!$D$27/in_Spread,0)</f>
        <v>0</v>
      </c>
      <c r="N66" s="140">
        <f>IF(N$45&lt;=in_Spread,Scenarios!$D$27/in_Spread,0)</f>
        <v>0</v>
      </c>
      <c r="O66" s="140">
        <f>IF(O$45&lt;=in_Spread,Scenarios!$D$27/in_Spread,0)</f>
        <v>0</v>
      </c>
      <c r="Q66" s="140">
        <f>SUM(D66:G66)</f>
        <v>130000</v>
      </c>
      <c r="R66" s="140">
        <f>SUM(H66:K66)</f>
        <v>0</v>
      </c>
      <c r="S66" s="140">
        <f>SUM(L66:O66)</f>
        <v>0</v>
      </c>
      <c r="T66" s="141">
        <f>SUM(Q66:S66)</f>
        <v>130000</v>
      </c>
    </row>
    <row r="67">
      <c r="B67" s="9" t="inlineStr">
        <is>
          <t>Total costs</t>
        </is>
      </c>
      <c r="C67" s="76" t="inlineStr">
        <is>
          <t>£</t>
        </is>
      </c>
      <c r="D67" s="141">
        <f>D63+D64+D65+D66</f>
        <v>65000</v>
      </c>
      <c r="E67" s="141">
        <f>E63+E64+E65+E66</f>
        <v>82564.8</v>
      </c>
      <c r="F67" s="141">
        <f>F63+F64+F65+F66</f>
        <v>17759.2</v>
      </c>
      <c r="G67" s="141">
        <f>G63+G64+G65+G66</f>
        <v>17953.6</v>
      </c>
      <c r="H67" s="141">
        <f>H63+H64+H65+H66</f>
        <v>18105.88</v>
      </c>
      <c r="I67" s="141">
        <f>I63+I64+I65+I66</f>
        <v>18141.52</v>
      </c>
      <c r="J67" s="141">
        <f>J63+J64+J65+J66</f>
        <v>18141.52</v>
      </c>
      <c r="K67" s="141">
        <f>K63+K64+K65+K66</f>
        <v>18141.52</v>
      </c>
      <c r="L67" s="141">
        <f>L63+L64+L65+L66</f>
        <v>18205.672</v>
      </c>
      <c r="M67" s="141">
        <f>M63+M64+M65+M66</f>
        <v>18205.672</v>
      </c>
      <c r="N67" s="141">
        <f>N63+N64+N65+N66</f>
        <v>18205.672</v>
      </c>
      <c r="O67" s="141">
        <f>O63+O64+O65+O66</f>
        <v>18205.672</v>
      </c>
      <c r="Q67" s="141">
        <f>SUM(D67:G67)</f>
        <v>183277.6</v>
      </c>
      <c r="R67" s="141">
        <f>SUM(H67:K67)</f>
        <v>72530.44</v>
      </c>
      <c r="S67" s="141">
        <f>SUM(L67:O67)</f>
        <v>72822.688</v>
      </c>
      <c r="T67" s="141">
        <f>SUM(Q67:S67)</f>
        <v>328630.728</v>
      </c>
    </row>
    <row r="68">
      <c r="B68" s="143" t="inlineStr">
        <is>
          <t>Net cash flow</t>
        </is>
      </c>
      <c r="C68" s="144" t="inlineStr">
        <is>
          <t>£</t>
        </is>
      </c>
      <c r="D68" s="145">
        <f>D62-D67</f>
        <v>-65000</v>
      </c>
      <c r="E68" s="145">
        <f>E62-E67</f>
        <v>-77365.32</v>
      </c>
      <c r="F68" s="145">
        <f>F62-F67</f>
        <v>3038.72</v>
      </c>
      <c r="G68" s="145">
        <f>G62-G67</f>
        <v>18442.76</v>
      </c>
      <c r="H68" s="145">
        <f>H62-H67</f>
        <v>30509.258</v>
      </c>
      <c r="I68" s="145">
        <f>I62-I67</f>
        <v>33333.332</v>
      </c>
      <c r="J68" s="145">
        <f>J62-J67</f>
        <v>33333.332</v>
      </c>
      <c r="K68" s="145">
        <f>K62-K67</f>
        <v>33333.332</v>
      </c>
      <c r="L68" s="145">
        <f>L62-L67</f>
        <v>38416.6652</v>
      </c>
      <c r="M68" s="145">
        <f>M62-M67</f>
        <v>38416.6652</v>
      </c>
      <c r="N68" s="145">
        <f>N62-N67</f>
        <v>38416.6652</v>
      </c>
      <c r="O68" s="145">
        <f>O62-O67</f>
        <v>38416.6652</v>
      </c>
      <c r="P68" s="146" t="n"/>
      <c r="Q68" s="145">
        <f>SUM(D68:G68)</f>
        <v>-120883.84</v>
      </c>
      <c r="R68" s="145">
        <f>SUM(H68:K68)</f>
        <v>130509.254</v>
      </c>
      <c r="S68" s="145">
        <f>SUM(L68:O68)</f>
        <v>153666.6608</v>
      </c>
      <c r="T68" s="145">
        <f>SUM(Q68:S68)</f>
        <v>163292.0748</v>
      </c>
    </row>
    <row r="69">
      <c r="B69" s="147" t="inlineStr">
        <is>
          <t>Cumulative cash</t>
        </is>
      </c>
      <c r="C69" s="148" t="inlineStr">
        <is>
          <t>£</t>
        </is>
      </c>
      <c r="D69" s="149">
        <f>D68</f>
        <v>-65000</v>
      </c>
      <c r="E69" s="149">
        <f>D69+E68</f>
        <v>-142365.32</v>
      </c>
      <c r="F69" s="149">
        <f>E69+F68</f>
        <v>-139326.6</v>
      </c>
      <c r="G69" s="149">
        <f>F69+G68</f>
        <v>-120883.84</v>
      </c>
      <c r="H69" s="149">
        <f>G69+H68</f>
        <v>-90374.582</v>
      </c>
      <c r="I69" s="149">
        <f>H69+I68</f>
        <v>-57041.25</v>
      </c>
      <c r="J69" s="149">
        <f>I69+J68</f>
        <v>-23707.918</v>
      </c>
      <c r="K69" s="149">
        <f>J69+K68</f>
        <v>9625.41400000005</v>
      </c>
      <c r="L69" s="149">
        <f>K69+L68</f>
        <v>48042.0792000001</v>
      </c>
      <c r="M69" s="149">
        <f>L69+M68</f>
        <v>86458.7444000001</v>
      </c>
      <c r="N69" s="149">
        <f>M69+N68</f>
        <v>124875.4096</v>
      </c>
      <c r="O69" s="149">
        <f>N69+O68</f>
        <v>163292.0748</v>
      </c>
      <c r="P69" s="150" t="n"/>
      <c r="Q69" s="149">
        <f>G69</f>
        <v>-120883.84</v>
      </c>
      <c r="R69" s="149">
        <f>K69</f>
        <v>9625.41400000005</v>
      </c>
      <c r="S69" s="149">
        <f>O69</f>
        <v>163292.0748</v>
      </c>
      <c r="T69" s="149">
        <f>S69</f>
        <v>163292.0748</v>
      </c>
    </row>
    <row r="70">
      <c r="B70" s="28" t="inlineStr">
        <is>
          <t>Discounted cash flow</t>
        </is>
      </c>
      <c r="C70" s="76" t="inlineStr">
        <is>
          <t>£</t>
        </is>
      </c>
      <c r="D70" s="140">
        <f>D68*D$50</f>
        <v>-63469.5158289602</v>
      </c>
      <c r="E70" s="140">
        <f>E68*E$50</f>
        <v>-73764.9383250138</v>
      </c>
      <c r="F70" s="140">
        <f>F68*F$50</f>
        <v>2829.08613572244</v>
      </c>
      <c r="G70" s="140">
        <f>G68*G$50</f>
        <v>16766.1454545455</v>
      </c>
      <c r="H70" s="140">
        <f>H68*H$50</f>
        <v>27082.6270428088</v>
      </c>
      <c r="I70" s="140">
        <f>I68*I$50</f>
        <v>28892.8045790027</v>
      </c>
      <c r="J70" s="140">
        <f>J68*J$50</f>
        <v>28212.4971933856</v>
      </c>
      <c r="K70" s="140">
        <f>K68*K$50</f>
        <v>27548.2082644628</v>
      </c>
      <c r="L70" s="140">
        <f>L68*L$50</f>
        <v>31001.7436745997</v>
      </c>
      <c r="M70" s="140">
        <f>M68*M$50</f>
        <v>30271.7793981595</v>
      </c>
      <c r="N70" s="140">
        <f>N68*N$50</f>
        <v>29559.002795112</v>
      </c>
      <c r="O70" s="140">
        <f>O68*O$50</f>
        <v>28863.0091660406</v>
      </c>
      <c r="Q70" s="140">
        <f>SUM(D70:G70)</f>
        <v>-117639.222563706</v>
      </c>
      <c r="R70" s="140">
        <f>SUM(H70:K70)</f>
        <v>111736.13707966</v>
      </c>
      <c r="S70" s="140">
        <f>SUM(L70:O70)</f>
        <v>119695.535033912</v>
      </c>
      <c r="T70" s="141">
        <f>SUM(Q70:S70)</f>
        <v>113792.449549866</v>
      </c>
    </row>
    <row r="71">
      <c r="B71" s="147" t="inlineStr">
        <is>
          <t>Cumulative discounted cash (NPV to date)</t>
        </is>
      </c>
      <c r="C71" s="148" t="inlineStr">
        <is>
          <t>£</t>
        </is>
      </c>
      <c r="D71" s="149">
        <f>D70</f>
        <v>-63469.5158289602</v>
      </c>
      <c r="E71" s="149">
        <f>D71+E70</f>
        <v>-137234.454153974</v>
      </c>
      <c r="F71" s="149">
        <f>E71+F70</f>
        <v>-134405.368018252</v>
      </c>
      <c r="G71" s="149">
        <f>F71+G70</f>
        <v>-117639.222563706</v>
      </c>
      <c r="H71" s="149">
        <f>G71+H70</f>
        <v>-90556.5955208973</v>
      </c>
      <c r="I71" s="149">
        <f>H71+I70</f>
        <v>-61663.7909418946</v>
      </c>
      <c r="J71" s="149">
        <f>I71+J70</f>
        <v>-33451.293748509</v>
      </c>
      <c r="K71" s="149">
        <f>J71+K70</f>
        <v>-5903.08548404617</v>
      </c>
      <c r="L71" s="149">
        <f>K71+L70</f>
        <v>25098.6581905535</v>
      </c>
      <c r="M71" s="149">
        <f>L71+M70</f>
        <v>55370.437588713</v>
      </c>
      <c r="N71" s="149">
        <f>M71+N70</f>
        <v>84929.440383825</v>
      </c>
      <c r="O71" s="149">
        <f>N71+O70</f>
        <v>113792.449549866</v>
      </c>
      <c r="P71" s="150" t="n"/>
      <c r="Q71" s="149">
        <f>G71</f>
        <v>-117639.222563706</v>
      </c>
      <c r="R71" s="149">
        <f>K71</f>
        <v>-5903.08548404617</v>
      </c>
      <c r="S71" s="149">
        <f>O71</f>
        <v>113792.449549866</v>
      </c>
      <c r="T71" s="149">
        <f>S71</f>
        <v>113792.449549866</v>
      </c>
    </row>
    <row r="72">
      <c r="B72" s="28" t="inlineStr">
        <is>
          <t>Operating cost of the queue with AI (excl. one-off)</t>
        </is>
      </c>
      <c r="C72" s="76" t="inlineStr">
        <is>
          <t>£</t>
        </is>
      </c>
      <c r="D72" s="140">
        <f>D$47*$E$27-D57*($E$27-$E$41)+D64+D65</f>
        <v>117000</v>
      </c>
      <c r="E72" s="140">
        <f>E$47*$E$27-E57*($E$27-$E$41)+E64+E65</f>
        <v>127692.4</v>
      </c>
      <c r="F72" s="140">
        <f>F$47*$E$27-F57*($E$27-$E$41)+F64+F65</f>
        <v>107269.6</v>
      </c>
      <c r="G72" s="140">
        <f>G$47*$E$27-G57*($E$27-$E$41)+G64+G65</f>
        <v>86846.8</v>
      </c>
      <c r="H72" s="140">
        <f>H$47*$E$27-H57*($E$27-$E$41)+H64+H65</f>
        <v>82548.94</v>
      </c>
      <c r="I72" s="140">
        <f>I$47*$E$27-I57*($E$27-$E$41)+I64+I65</f>
        <v>78804.76</v>
      </c>
      <c r="J72" s="140">
        <f>J$47*$E$27-J57*($E$27-$E$41)+J64+J65</f>
        <v>78804.76</v>
      </c>
      <c r="K72" s="140">
        <f>K$47*$E$27-K57*($E$27-$E$41)+K64+K65</f>
        <v>78804.76</v>
      </c>
      <c r="L72" s="140">
        <f>L$47*$E$27-L57*($E$27-$E$41)+L64+L65</f>
        <v>84935.236</v>
      </c>
      <c r="M72" s="140">
        <f>M$47*$E$27-M57*($E$27-$E$41)+M64+M65</f>
        <v>84935.236</v>
      </c>
      <c r="N72" s="140">
        <f>N$47*$E$27-N57*($E$27-$E$41)+N64+N65</f>
        <v>84935.236</v>
      </c>
      <c r="O72" s="140">
        <f>O$47*$E$27-O57*($E$27-$E$41)+O64+O65</f>
        <v>84935.236</v>
      </c>
      <c r="Q72" s="140">
        <f>SUM(D72:G72)</f>
        <v>438808.8</v>
      </c>
      <c r="R72" s="140">
        <f>SUM(H72:K72)</f>
        <v>318963.22</v>
      </c>
      <c r="S72" s="140">
        <f>SUM(L72:O72)</f>
        <v>339740.944</v>
      </c>
      <c r="T72" s="141">
        <f>SUM(Q72:S72)</f>
        <v>1097512.964</v>
      </c>
    </row>
    <row r="73">
      <c r="B73" s="76" t="inlineStr">
        <is>
          <t>Payback helper: month in which cumulative cash turns positive</t>
        </is>
      </c>
      <c r="C73" s="76" t="inlineStr">
        <is>
          <t>month</t>
        </is>
      </c>
      <c r="D73" s="151" t="str">
        <f>IF(D69&gt;0,0,"")</f>
        <v/>
      </c>
      <c r="E73" s="151" t="str">
        <f>IF(AND(D69&lt;=0,E69&gt;0),3*(E$45-1)+3*(-D69)/E68,"")</f>
        <v/>
      </c>
      <c r="F73" s="151" t="str">
        <f>IF(AND(E69&lt;=0,F69&gt;0),3*(F$45-1)+3*(-E69)/F68,"")</f>
        <v/>
      </c>
      <c r="G73" s="151" t="str">
        <f>IF(AND(F69&lt;=0,G69&gt;0),3*(G$45-1)+3*(-F69)/G68,"")</f>
        <v/>
      </c>
      <c r="H73" s="151" t="str">
        <f>IF(AND(G69&lt;=0,H69&gt;0),3*(H$45-1)+3*(-G69)/H68,"")</f>
        <v/>
      </c>
      <c r="I73" s="151" t="str">
        <f>IF(AND(H69&lt;=0,I69&gt;0),3*(I$45-1)+3*(-H69)/I68,"")</f>
        <v/>
      </c>
      <c r="J73" s="151" t="str">
        <f>IF(AND(I69&lt;=0,J69&gt;0),3*(J$45-1)+3*(-I69)/J68,"")</f>
        <v/>
      </c>
      <c r="K73" s="151">
        <f>IF(AND(J69&lt;=0,K69&gt;0),3*(K$45-1)+3*(-J69)/K68,"")</f>
        <v>23.1337127053485</v>
      </c>
      <c r="L73" s="151" t="str">
        <f>IF(AND(K69&lt;=0,L69&gt;0),3*(L$45-1)+3*(-K69)/L68,"")</f>
        <v/>
      </c>
      <c r="M73" s="151" t="str">
        <f>IF(AND(L69&lt;=0,M69&gt;0),3*(M$45-1)+3*(-L69)/M68,"")</f>
        <v/>
      </c>
      <c r="N73" s="151" t="str">
        <f>IF(AND(M69&lt;=0,N69&gt;0),3*(N$45-1)+3*(-M69)/N68,"")</f>
        <v/>
      </c>
      <c r="O73" s="151" t="str">
        <f>IF(AND(N69&lt;=0,O69&gt;0),3*(O$45-1)+3*(-N69)/O68,"")</f>
        <v/>
      </c>
    </row>
    <row r="75">
      <c r="B75" s="8" t="inlineStr">
        <is>
          <t>Low case: quarter by quarter</t>
        </is>
      </c>
      <c r="C75" s="2" t="n"/>
      <c r="D75" s="2" t="n"/>
      <c r="E75" s="2" t="n"/>
      <c r="F75" s="2" t="n"/>
      <c r="G75" s="2" t="n"/>
      <c r="H75" s="2" t="n"/>
      <c r="I75" s="2" t="n"/>
      <c r="J75" s="2" t="n"/>
      <c r="K75" s="2" t="n"/>
      <c r="L75" s="2" t="n"/>
      <c r="M75" s="2" t="n"/>
      <c r="N75" s="2" t="n"/>
      <c r="O75" s="2" t="n"/>
      <c r="P75" s="2" t="n"/>
      <c r="Q75" s="2" t="n"/>
      <c r="R75" s="2" t="n"/>
      <c r="S75" s="2" t="n"/>
      <c r="T75" s="2" t="n"/>
    </row>
    <row r="76">
      <c r="B76" s="25" t="inlineStr">
        <is>
          <t>Line</t>
        </is>
      </c>
      <c r="C76" s="26" t="inlineStr">
        <is>
          <t>Unit</t>
        </is>
      </c>
      <c r="D76" s="26" t="inlineStr">
        <is>
          <t>Q1</t>
        </is>
      </c>
      <c r="E76" s="26" t="inlineStr">
        <is>
          <t>Q2</t>
        </is>
      </c>
      <c r="F76" s="26" t="inlineStr">
        <is>
          <t>Q3</t>
        </is>
      </c>
      <c r="G76" s="26" t="inlineStr">
        <is>
          <t>Q4</t>
        </is>
      </c>
      <c r="H76" s="26" t="inlineStr">
        <is>
          <t>Q5</t>
        </is>
      </c>
      <c r="I76" s="26" t="inlineStr">
        <is>
          <t>Q6</t>
        </is>
      </c>
      <c r="J76" s="26" t="inlineStr">
        <is>
          <t>Q7</t>
        </is>
      </c>
      <c r="K76" s="26" t="inlineStr">
        <is>
          <t>Q8</t>
        </is>
      </c>
      <c r="L76" s="26" t="inlineStr">
        <is>
          <t>Q9</t>
        </is>
      </c>
      <c r="M76" s="26" t="inlineStr">
        <is>
          <t>Q10</t>
        </is>
      </c>
      <c r="N76" s="26" t="inlineStr">
        <is>
          <t>Q11</t>
        </is>
      </c>
      <c r="O76" s="26" t="inlineStr">
        <is>
          <t>Q12</t>
        </is>
      </c>
      <c r="Q76" s="25" t="inlineStr">
        <is>
          <t>Year 1</t>
        </is>
      </c>
      <c r="R76" s="26" t="inlineStr">
        <is>
          <t>Year 2</t>
        </is>
      </c>
      <c r="S76" s="26" t="inlineStr">
        <is>
          <t>Year 3</t>
        </is>
      </c>
      <c r="T76" s="26" t="inlineStr">
        <is>
          <t>3 years</t>
        </is>
      </c>
    </row>
    <row r="77">
      <c r="B77" s="28" t="inlineStr">
        <is>
          <t>Share of volume through the AI workflow</t>
        </is>
      </c>
      <c r="C77" s="76" t="inlineStr">
        <is>
          <t>% vol</t>
        </is>
      </c>
      <c r="D77" s="138">
        <f>MIN(1,(D$45-Scenarios!$C$25&gt;=1)*INDEX($D$48:$O$48,1,MAX(1,D$45-Scenarios!$C$25))*Scenarios!$C$24)</f>
        <v>0</v>
      </c>
      <c r="E77" s="138">
        <f>MIN(1,(E$45-Scenarios!$C$25&gt;=1)*INDEX($D$48:$O$48,1,MAX(1,E$45-Scenarios!$C$25))*Scenarios!$C$24)</f>
        <v>0</v>
      </c>
      <c r="F77" s="138">
        <f>MIN(1,(F$45-Scenarios!$C$25&gt;=1)*INDEX($D$48:$O$48,1,MAX(1,F$45-Scenarios!$C$25))*Scenarios!$C$24)</f>
        <v>0.075</v>
      </c>
      <c r="G77" s="138">
        <f>MIN(1,(G$45-Scenarios!$C$25&gt;=1)*INDEX($D$48:$O$48,1,MAX(1,G$45-Scenarios!$C$25))*Scenarios!$C$24)</f>
        <v>0.3</v>
      </c>
      <c r="H77" s="138">
        <f>MIN(1,(H$45-Scenarios!$C$25&gt;=1)*INDEX($D$48:$O$48,1,MAX(1,H$45-Scenarios!$C$25))*Scenarios!$C$24)</f>
        <v>0.525</v>
      </c>
      <c r="I77" s="138">
        <f>MIN(1,(I$45-Scenarios!$C$25&gt;=1)*INDEX($D$48:$O$48,1,MAX(1,I$45-Scenarios!$C$25))*Scenarios!$C$24)</f>
        <v>0.6375</v>
      </c>
      <c r="J77" s="138">
        <f>MIN(1,(J$45-Scenarios!$C$25&gt;=1)*INDEX($D$48:$O$48,1,MAX(1,J$45-Scenarios!$C$25))*Scenarios!$C$24)</f>
        <v>0.675</v>
      </c>
      <c r="K77" s="138">
        <f>MIN(1,(K$45-Scenarios!$C$25&gt;=1)*INDEX($D$48:$O$48,1,MAX(1,K$45-Scenarios!$C$25))*Scenarios!$C$24)</f>
        <v>0.675</v>
      </c>
      <c r="L77" s="138">
        <f>MIN(1,(L$45-Scenarios!$C$25&gt;=1)*INDEX($D$48:$O$48,1,MAX(1,L$45-Scenarios!$C$25))*Scenarios!$C$24)</f>
        <v>0.675</v>
      </c>
      <c r="M77" s="138">
        <f>MIN(1,(M$45-Scenarios!$C$25&gt;=1)*INDEX($D$48:$O$48,1,MAX(1,M$45-Scenarios!$C$25))*Scenarios!$C$24)</f>
        <v>0.675</v>
      </c>
      <c r="N77" s="138">
        <f>MIN(1,(N$45-Scenarios!$C$25&gt;=1)*INDEX($D$48:$O$48,1,MAX(1,N$45-Scenarios!$C$25))*Scenarios!$C$24)</f>
        <v>0.675</v>
      </c>
      <c r="O77" s="138">
        <f>MIN(1,(O$45-Scenarios!$C$25&gt;=1)*INDEX($D$48:$O$48,1,MAX(1,O$45-Scenarios!$C$25))*Scenarios!$C$24)</f>
        <v>0.675</v>
      </c>
      <c r="Q77" s="138">
        <f>IF(SUM(D47:G47)=0,0,Q78/Q47)</f>
        <v>0.09375</v>
      </c>
      <c r="R77" s="138">
        <f>IF(SUM(H47:K47)=0,0,R78/R47)</f>
        <v>0.628125</v>
      </c>
      <c r="S77" s="138">
        <f>IF(SUM(L47:O47)=0,0,S78/S47)</f>
        <v>0.675</v>
      </c>
      <c r="T77" s="142">
        <f>IF(T47=0,0,T78/T47)</f>
        <v>0.483817975830816</v>
      </c>
    </row>
    <row r="78">
      <c r="B78" s="28" t="inlineStr">
        <is>
          <t>Items through the AI workflow</t>
        </is>
      </c>
      <c r="C78" s="76" t="inlineStr">
        <is>
          <t>items</t>
        </is>
      </c>
      <c r="D78" s="135">
        <f>D$47*D77</f>
        <v>0</v>
      </c>
      <c r="E78" s="135">
        <f>E$47*E77</f>
        <v>0</v>
      </c>
      <c r="F78" s="135">
        <f>F$47*F77</f>
        <v>225</v>
      </c>
      <c r="G78" s="135">
        <f>G$47*G77</f>
        <v>900</v>
      </c>
      <c r="H78" s="135">
        <f>H$47*H77</f>
        <v>1732.5</v>
      </c>
      <c r="I78" s="135">
        <f>I$47*I77</f>
        <v>2103.75</v>
      </c>
      <c r="J78" s="135">
        <f>J$47*J77</f>
        <v>2227.5</v>
      </c>
      <c r="K78" s="135">
        <f>K$47*K77</f>
        <v>2227.5</v>
      </c>
      <c r="L78" s="135">
        <f>L$47*L77</f>
        <v>2450.25</v>
      </c>
      <c r="M78" s="135">
        <f>M$47*M77</f>
        <v>2450.25</v>
      </c>
      <c r="N78" s="135">
        <f>N$47*N77</f>
        <v>2450.25</v>
      </c>
      <c r="O78" s="135">
        <f>O$47*O77</f>
        <v>2450.25</v>
      </c>
      <c r="Q78" s="135">
        <f>SUM(D78:G78)</f>
        <v>1125</v>
      </c>
      <c r="R78" s="135">
        <f>SUM(H78:K78)</f>
        <v>8291.25</v>
      </c>
      <c r="S78" s="135">
        <f>SUM(L78:O78)</f>
        <v>9801</v>
      </c>
      <c r="T78" s="136">
        <f>SUM(Q78:S78)</f>
        <v>19217.25</v>
      </c>
    </row>
    <row r="79">
      <c r="B79" s="28" t="inlineStr">
        <is>
          <t>Live: platform and ongoing costs running (1 = yes)</t>
        </is>
      </c>
      <c r="C79" s="76" t="inlineStr">
        <is>
          <t>flag</t>
        </is>
      </c>
      <c r="D79" s="77">
        <f>IF(D$45-Scenarios!$C$25&gt;=GoLiveQ,1,0)</f>
        <v>0</v>
      </c>
      <c r="E79" s="77">
        <f>IF(E$45-Scenarios!$C$25&gt;=GoLiveQ,1,0)</f>
        <v>0</v>
      </c>
      <c r="F79" s="77">
        <f>IF(F$45-Scenarios!$C$25&gt;=GoLiveQ,1,0)</f>
        <v>1</v>
      </c>
      <c r="G79" s="77">
        <f>IF(G$45-Scenarios!$C$25&gt;=GoLiveQ,1,0)</f>
        <v>1</v>
      </c>
      <c r="H79" s="77">
        <f>IF(H$45-Scenarios!$C$25&gt;=GoLiveQ,1,0)</f>
        <v>1</v>
      </c>
      <c r="I79" s="77">
        <f>IF(I$45-Scenarios!$C$25&gt;=GoLiveQ,1,0)</f>
        <v>1</v>
      </c>
      <c r="J79" s="77">
        <f>IF(J$45-Scenarios!$C$25&gt;=GoLiveQ,1,0)</f>
        <v>1</v>
      </c>
      <c r="K79" s="77">
        <f>IF(K$45-Scenarios!$C$25&gt;=GoLiveQ,1,0)</f>
        <v>1</v>
      </c>
      <c r="L79" s="77">
        <f>IF(L$45-Scenarios!$C$25&gt;=GoLiveQ,1,0)</f>
        <v>1</v>
      </c>
      <c r="M79" s="77">
        <f>IF(M$45-Scenarios!$C$25&gt;=GoLiveQ,1,0)</f>
        <v>1</v>
      </c>
      <c r="N79" s="77">
        <f>IF(N$45-Scenarios!$C$25&gt;=GoLiveQ,1,0)</f>
        <v>1</v>
      </c>
      <c r="O79" s="77">
        <f>IF(O$45-Scenarios!$C$25&gt;=GoLiveQ,1,0)</f>
        <v>1</v>
      </c>
    </row>
    <row r="80">
      <c r="B80" s="28" t="inlineStr">
        <is>
          <t>Hours freed</t>
        </is>
      </c>
      <c r="C80" s="76" t="inlineStr">
        <is>
          <t>hours</t>
        </is>
      </c>
      <c r="D80" s="135">
        <f>D78*$D$33/60</f>
        <v>0</v>
      </c>
      <c r="E80" s="135">
        <f>E78*$D$33/60</f>
        <v>0</v>
      </c>
      <c r="F80" s="135">
        <f>F78*$D$33/60</f>
        <v>69.1490625</v>
      </c>
      <c r="G80" s="135">
        <f>G78*$D$33/60</f>
        <v>276.59625</v>
      </c>
      <c r="H80" s="135">
        <f>H78*$D$33/60</f>
        <v>532.44778125</v>
      </c>
      <c r="I80" s="135">
        <f>I78*$D$33/60</f>
        <v>646.543734375</v>
      </c>
      <c r="J80" s="135">
        <f>J78*$D$33/60</f>
        <v>684.57571875</v>
      </c>
      <c r="K80" s="135">
        <f>K78*$D$33/60</f>
        <v>684.57571875</v>
      </c>
      <c r="L80" s="135">
        <f>L78*$D$33/60</f>
        <v>753.033290625</v>
      </c>
      <c r="M80" s="135">
        <f>M78*$D$33/60</f>
        <v>753.033290625</v>
      </c>
      <c r="N80" s="135">
        <f>N78*$D$33/60</f>
        <v>753.033290625</v>
      </c>
      <c r="O80" s="135">
        <f>O78*$D$33/60</f>
        <v>753.033290625</v>
      </c>
      <c r="Q80" s="135">
        <f>SUM(D80:G80)</f>
        <v>345.7453125</v>
      </c>
      <c r="R80" s="135">
        <f>SUM(H80:K80)</f>
        <v>2548.142953125</v>
      </c>
      <c r="S80" s="135">
        <f>SUM(L80:O80)</f>
        <v>3012.1331625</v>
      </c>
      <c r="T80" s="136">
        <f>SUM(Q80:S80)</f>
        <v>5906.021428125</v>
      </c>
    </row>
    <row r="81">
      <c r="B81" s="28" t="inlineStr">
        <is>
          <t>Value of freed time</t>
        </is>
      </c>
      <c r="C81" s="76" t="inlineStr">
        <is>
          <t>£</t>
        </is>
      </c>
      <c r="D81" s="140">
        <f>D78*$D$35</f>
        <v>0</v>
      </c>
      <c r="E81" s="140">
        <f>E78*$D$35</f>
        <v>0</v>
      </c>
      <c r="F81" s="140">
        <f>F78*$D$35</f>
        <v>1555.85390625</v>
      </c>
      <c r="G81" s="140">
        <f>G78*$D$35</f>
        <v>6223.415625</v>
      </c>
      <c r="H81" s="140">
        <f>H78*$D$35</f>
        <v>11980.075078125</v>
      </c>
      <c r="I81" s="140">
        <f>I78*$D$35</f>
        <v>14547.2340234375</v>
      </c>
      <c r="J81" s="140">
        <f>J78*$D$35</f>
        <v>15402.953671875</v>
      </c>
      <c r="K81" s="140">
        <f>K78*$D$35</f>
        <v>15402.953671875</v>
      </c>
      <c r="L81" s="140">
        <f>L78*$D$35</f>
        <v>16943.2490390625</v>
      </c>
      <c r="M81" s="140">
        <f>M78*$D$35</f>
        <v>16943.2490390625</v>
      </c>
      <c r="N81" s="140">
        <f>N78*$D$35</f>
        <v>16943.2490390625</v>
      </c>
      <c r="O81" s="140">
        <f>O78*$D$35</f>
        <v>16943.2490390625</v>
      </c>
      <c r="Q81" s="140">
        <f>SUM(D81:G81)</f>
        <v>7779.26953125</v>
      </c>
      <c r="R81" s="140">
        <f>SUM(H81:K81)</f>
        <v>57333.2164453125</v>
      </c>
      <c r="S81" s="140">
        <f>SUM(L81:O81)</f>
        <v>67772.99615625</v>
      </c>
      <c r="T81" s="141">
        <f>SUM(Q81:S81)</f>
        <v>132885.482132813</v>
      </c>
    </row>
    <row r="82">
      <c r="B82" s="28" t="inlineStr">
        <is>
          <t>Error cost avoided</t>
        </is>
      </c>
      <c r="C82" s="76" t="inlineStr">
        <is>
          <t>£</t>
        </is>
      </c>
      <c r="D82" s="140">
        <f>D78*$D$38</f>
        <v>0</v>
      </c>
      <c r="E82" s="140">
        <f>E78*$D$38</f>
        <v>0</v>
      </c>
      <c r="F82" s="140">
        <f>F78*$D$38</f>
        <v>496.125</v>
      </c>
      <c r="G82" s="140">
        <f>G78*$D$38</f>
        <v>1984.5</v>
      </c>
      <c r="H82" s="140">
        <f>H78*$D$38</f>
        <v>3820.1625</v>
      </c>
      <c r="I82" s="140">
        <f>I78*$D$38</f>
        <v>4638.76875</v>
      </c>
      <c r="J82" s="140">
        <f>J78*$D$38</f>
        <v>4911.6375</v>
      </c>
      <c r="K82" s="140">
        <f>K78*$D$38</f>
        <v>4911.6375</v>
      </c>
      <c r="L82" s="140">
        <f>L78*$D$38</f>
        <v>5402.80125</v>
      </c>
      <c r="M82" s="140">
        <f>M78*$D$38</f>
        <v>5402.80125</v>
      </c>
      <c r="N82" s="140">
        <f>N78*$D$38</f>
        <v>5402.80125</v>
      </c>
      <c r="O82" s="140">
        <f>O78*$D$38</f>
        <v>5402.80125</v>
      </c>
      <c r="Q82" s="140">
        <f>SUM(D82:G82)</f>
        <v>2480.625</v>
      </c>
      <c r="R82" s="140">
        <f>SUM(H82:K82)</f>
        <v>18282.20625</v>
      </c>
      <c r="S82" s="140">
        <f>SUM(L82:O82)</f>
        <v>21611.205</v>
      </c>
      <c r="T82" s="141">
        <f>SUM(Q82:S82)</f>
        <v>42374.03625</v>
      </c>
    </row>
    <row r="83">
      <c r="B83" s="9" t="inlineStr">
        <is>
          <t>Total benefits</t>
        </is>
      </c>
      <c r="C83" s="76" t="inlineStr">
        <is>
          <t>£</t>
        </is>
      </c>
      <c r="D83" s="141">
        <f>D81+D82</f>
        <v>0</v>
      </c>
      <c r="E83" s="141">
        <f>E81+E82</f>
        <v>0</v>
      </c>
      <c r="F83" s="141">
        <f>F81+F82</f>
        <v>2051.97890625</v>
      </c>
      <c r="G83" s="141">
        <f>G81+G82</f>
        <v>8207.915625</v>
      </c>
      <c r="H83" s="141">
        <f>H81+H82</f>
        <v>15800.237578125</v>
      </c>
      <c r="I83" s="141">
        <f>I81+I82</f>
        <v>19186.0027734375</v>
      </c>
      <c r="J83" s="141">
        <f>J81+J82</f>
        <v>20314.591171875</v>
      </c>
      <c r="K83" s="141">
        <f>K81+K82</f>
        <v>20314.591171875</v>
      </c>
      <c r="L83" s="141">
        <f>L81+L82</f>
        <v>22346.0502890625</v>
      </c>
      <c r="M83" s="141">
        <f>M81+M82</f>
        <v>22346.0502890625</v>
      </c>
      <c r="N83" s="141">
        <f>N81+N82</f>
        <v>22346.0502890625</v>
      </c>
      <c r="O83" s="141">
        <f>O81+O82</f>
        <v>22346.0502890625</v>
      </c>
      <c r="Q83" s="141">
        <f>SUM(D83:G83)</f>
        <v>10259.89453125</v>
      </c>
      <c r="R83" s="141">
        <f>SUM(H83:K83)</f>
        <v>75615.4226953125</v>
      </c>
      <c r="S83" s="141">
        <f>SUM(L83:O83)</f>
        <v>89384.20115625</v>
      </c>
      <c r="T83" s="141">
        <f>SUM(Q83:S83)</f>
        <v>175259.518382813</v>
      </c>
    </row>
    <row r="84">
      <c r="B84" s="28" t="inlineStr">
        <is>
          <t>AI run cost</t>
        </is>
      </c>
      <c r="C84" s="76" t="inlineStr">
        <is>
          <t>£</t>
        </is>
      </c>
      <c r="D84" s="140">
        <f>D78*$D$39</f>
        <v>0</v>
      </c>
      <c r="E84" s="140">
        <f>E78*$D$39</f>
        <v>0</v>
      </c>
      <c r="F84" s="140">
        <f>F78*$D$39</f>
        <v>97.2</v>
      </c>
      <c r="G84" s="140">
        <f>G78*$D$39</f>
        <v>388.8</v>
      </c>
      <c r="H84" s="140">
        <f>H78*$D$39</f>
        <v>748.44</v>
      </c>
      <c r="I84" s="140">
        <f>I78*$D$39</f>
        <v>908.82</v>
      </c>
      <c r="J84" s="140">
        <f>J78*$D$39</f>
        <v>962.28</v>
      </c>
      <c r="K84" s="140">
        <f>K78*$D$39</f>
        <v>962.28</v>
      </c>
      <c r="L84" s="140">
        <f>L78*$D$39</f>
        <v>1058.508</v>
      </c>
      <c r="M84" s="140">
        <f>M78*$D$39</f>
        <v>1058.508</v>
      </c>
      <c r="N84" s="140">
        <f>N78*$D$39</f>
        <v>1058.508</v>
      </c>
      <c r="O84" s="140">
        <f>O78*$D$39</f>
        <v>1058.508</v>
      </c>
      <c r="Q84" s="140">
        <f>SUM(D84:G84)</f>
        <v>486</v>
      </c>
      <c r="R84" s="140">
        <f>SUM(H84:K84)</f>
        <v>3581.82</v>
      </c>
      <c r="S84" s="140">
        <f>SUM(L84:O84)</f>
        <v>4234.032</v>
      </c>
      <c r="T84" s="141">
        <f>SUM(Q84:S84)</f>
        <v>8301.852</v>
      </c>
    </row>
    <row r="85">
      <c r="B85" s="28" t="inlineStr">
        <is>
          <t>Platform and hosting</t>
        </is>
      </c>
      <c r="C85" s="76" t="inlineStr">
        <is>
          <t>£</t>
        </is>
      </c>
      <c r="D85" s="140">
        <f>D79*in_Platform*3</f>
        <v>0</v>
      </c>
      <c r="E85" s="140">
        <f>E79*in_Platform*3</f>
        <v>0</v>
      </c>
      <c r="F85" s="140">
        <f>F79*in_Platform*3</f>
        <v>4500</v>
      </c>
      <c r="G85" s="140">
        <f>G79*in_Platform*3</f>
        <v>4500</v>
      </c>
      <c r="H85" s="140">
        <f>H79*in_Platform*3</f>
        <v>4500</v>
      </c>
      <c r="I85" s="140">
        <f>I79*in_Platform*3</f>
        <v>4500</v>
      </c>
      <c r="J85" s="140">
        <f>J79*in_Platform*3</f>
        <v>4500</v>
      </c>
      <c r="K85" s="140">
        <f>K79*in_Platform*3</f>
        <v>4500</v>
      </c>
      <c r="L85" s="140">
        <f>L79*in_Platform*3</f>
        <v>4500</v>
      </c>
      <c r="M85" s="140">
        <f>M79*in_Platform*3</f>
        <v>4500</v>
      </c>
      <c r="N85" s="140">
        <f>N79*in_Platform*3</f>
        <v>4500</v>
      </c>
      <c r="O85" s="140">
        <f>O79*in_Platform*3</f>
        <v>4500</v>
      </c>
      <c r="Q85" s="140">
        <f>SUM(D85:G85)</f>
        <v>9000</v>
      </c>
      <c r="R85" s="140">
        <f>SUM(H85:K85)</f>
        <v>18000</v>
      </c>
      <c r="S85" s="140">
        <f>SUM(L85:O85)</f>
        <v>18000</v>
      </c>
      <c r="T85" s="141">
        <f>SUM(Q85:S85)</f>
        <v>45000</v>
      </c>
    </row>
    <row r="86">
      <c r="B86" s="28" t="inlineStr">
        <is>
          <t>Maintenance, evaluation upkeep and licences</t>
        </is>
      </c>
      <c r="C86" s="76" t="inlineStr">
        <is>
          <t>£</t>
        </is>
      </c>
      <c r="D86" s="140">
        <f>D79*in_OngoingAnnual/4</f>
        <v>0</v>
      </c>
      <c r="E86" s="140">
        <f>E79*in_OngoingAnnual/4</f>
        <v>0</v>
      </c>
      <c r="F86" s="140">
        <f>F79*in_OngoingAnnual/4</f>
        <v>13000</v>
      </c>
      <c r="G86" s="140">
        <f>G79*in_OngoingAnnual/4</f>
        <v>13000</v>
      </c>
      <c r="H86" s="140">
        <f>H79*in_OngoingAnnual/4</f>
        <v>13000</v>
      </c>
      <c r="I86" s="140">
        <f>I79*in_OngoingAnnual/4</f>
        <v>13000</v>
      </c>
      <c r="J86" s="140">
        <f>J79*in_OngoingAnnual/4</f>
        <v>13000</v>
      </c>
      <c r="K86" s="140">
        <f>K79*in_OngoingAnnual/4</f>
        <v>13000</v>
      </c>
      <c r="L86" s="140">
        <f>L79*in_OngoingAnnual/4</f>
        <v>13000</v>
      </c>
      <c r="M86" s="140">
        <f>M79*in_OngoingAnnual/4</f>
        <v>13000</v>
      </c>
      <c r="N86" s="140">
        <f>N79*in_OngoingAnnual/4</f>
        <v>13000</v>
      </c>
      <c r="O86" s="140">
        <f>O79*in_OngoingAnnual/4</f>
        <v>13000</v>
      </c>
      <c r="Q86" s="140">
        <f>SUM(D86:G86)</f>
        <v>26000</v>
      </c>
      <c r="R86" s="140">
        <f>SUM(H86:K86)</f>
        <v>52000</v>
      </c>
      <c r="S86" s="140">
        <f>SUM(L86:O86)</f>
        <v>52000</v>
      </c>
      <c r="T86" s="141">
        <f>SUM(Q86:S86)</f>
        <v>130000</v>
      </c>
    </row>
    <row r="87">
      <c r="B87" s="28" t="inlineStr">
        <is>
          <t>One-off costs</t>
        </is>
      </c>
      <c r="C87" s="76" t="inlineStr">
        <is>
          <t>£</t>
        </is>
      </c>
      <c r="D87" s="140">
        <f>IF(D$45&lt;=in_Spread,Scenarios!$C$27/in_Spread,0)</f>
        <v>81250</v>
      </c>
      <c r="E87" s="140">
        <f>IF(E$45&lt;=in_Spread,Scenarios!$C$27/in_Spread,0)</f>
        <v>81250</v>
      </c>
      <c r="F87" s="140">
        <f>IF(F$45&lt;=in_Spread,Scenarios!$C$27/in_Spread,0)</f>
        <v>0</v>
      </c>
      <c r="G87" s="140">
        <f>IF(G$45&lt;=in_Spread,Scenarios!$C$27/in_Spread,0)</f>
        <v>0</v>
      </c>
      <c r="H87" s="140">
        <f>IF(H$45&lt;=in_Spread,Scenarios!$C$27/in_Spread,0)</f>
        <v>0</v>
      </c>
      <c r="I87" s="140">
        <f>IF(I$45&lt;=in_Spread,Scenarios!$C$27/in_Spread,0)</f>
        <v>0</v>
      </c>
      <c r="J87" s="140">
        <f>IF(J$45&lt;=in_Spread,Scenarios!$C$27/in_Spread,0)</f>
        <v>0</v>
      </c>
      <c r="K87" s="140">
        <f>IF(K$45&lt;=in_Spread,Scenarios!$C$27/in_Spread,0)</f>
        <v>0</v>
      </c>
      <c r="L87" s="140">
        <f>IF(L$45&lt;=in_Spread,Scenarios!$C$27/in_Spread,0)</f>
        <v>0</v>
      </c>
      <c r="M87" s="140">
        <f>IF(M$45&lt;=in_Spread,Scenarios!$C$27/in_Spread,0)</f>
        <v>0</v>
      </c>
      <c r="N87" s="140">
        <f>IF(N$45&lt;=in_Spread,Scenarios!$C$27/in_Spread,0)</f>
        <v>0</v>
      </c>
      <c r="O87" s="140">
        <f>IF(O$45&lt;=in_Spread,Scenarios!$C$27/in_Spread,0)</f>
        <v>0</v>
      </c>
      <c r="Q87" s="140">
        <f>SUM(D87:G87)</f>
        <v>162500</v>
      </c>
      <c r="R87" s="140">
        <f>SUM(H87:K87)</f>
        <v>0</v>
      </c>
      <c r="S87" s="140">
        <f>SUM(L87:O87)</f>
        <v>0</v>
      </c>
      <c r="T87" s="141">
        <f>SUM(Q87:S87)</f>
        <v>162500</v>
      </c>
    </row>
    <row r="88">
      <c r="B88" s="9" t="inlineStr">
        <is>
          <t>Total costs</t>
        </is>
      </c>
      <c r="C88" s="76" t="inlineStr">
        <is>
          <t>£</t>
        </is>
      </c>
      <c r="D88" s="141">
        <f>D84+D85+D86+D87</f>
        <v>81250</v>
      </c>
      <c r="E88" s="141">
        <f>E84+E85+E86+E87</f>
        <v>81250</v>
      </c>
      <c r="F88" s="141">
        <f>F84+F85+F86+F87</f>
        <v>17597.2</v>
      </c>
      <c r="G88" s="141">
        <f>G84+G85+G86+G87</f>
        <v>17888.8</v>
      </c>
      <c r="H88" s="141">
        <f>H84+H85+H86+H87</f>
        <v>18248.44</v>
      </c>
      <c r="I88" s="141">
        <f>I84+I85+I86+I87</f>
        <v>18408.82</v>
      </c>
      <c r="J88" s="141">
        <f>J84+J85+J86+J87</f>
        <v>18462.28</v>
      </c>
      <c r="K88" s="141">
        <f>K84+K85+K86+K87</f>
        <v>18462.28</v>
      </c>
      <c r="L88" s="141">
        <f>L84+L85+L86+L87</f>
        <v>18558.508</v>
      </c>
      <c r="M88" s="141">
        <f>M84+M85+M86+M87</f>
        <v>18558.508</v>
      </c>
      <c r="N88" s="141">
        <f>N84+N85+N86+N87</f>
        <v>18558.508</v>
      </c>
      <c r="O88" s="141">
        <f>O84+O85+O86+O87</f>
        <v>18558.508</v>
      </c>
      <c r="Q88" s="141">
        <f>SUM(D88:G88)</f>
        <v>197986</v>
      </c>
      <c r="R88" s="141">
        <f>SUM(H88:K88)</f>
        <v>73581.82</v>
      </c>
      <c r="S88" s="141">
        <f>SUM(L88:O88)</f>
        <v>74234.032</v>
      </c>
      <c r="T88" s="141">
        <f>SUM(Q88:S88)</f>
        <v>345801.852</v>
      </c>
    </row>
    <row r="89">
      <c r="B89" s="143" t="inlineStr">
        <is>
          <t>Net cash flow</t>
        </is>
      </c>
      <c r="C89" s="144" t="inlineStr">
        <is>
          <t>£</t>
        </is>
      </c>
      <c r="D89" s="145">
        <f>D83-D88</f>
        <v>-81250</v>
      </c>
      <c r="E89" s="145">
        <f>E83-E88</f>
        <v>-81250</v>
      </c>
      <c r="F89" s="145">
        <f>F83-F88</f>
        <v>-15545.22109375</v>
      </c>
      <c r="G89" s="145">
        <f>G83-G88</f>
        <v>-9680.884375</v>
      </c>
      <c r="H89" s="145">
        <f>H83-H88</f>
        <v>-2448.202421875</v>
      </c>
      <c r="I89" s="145">
        <f>I83-I88</f>
        <v>777.182773437497</v>
      </c>
      <c r="J89" s="145">
        <f>J83-J88</f>
        <v>1852.311171875</v>
      </c>
      <c r="K89" s="145">
        <f>K83-K88</f>
        <v>1852.311171875</v>
      </c>
      <c r="L89" s="145">
        <f>L83-L88</f>
        <v>3787.5422890625</v>
      </c>
      <c r="M89" s="145">
        <f>M83-M88</f>
        <v>3787.5422890625</v>
      </c>
      <c r="N89" s="145">
        <f>N83-N88</f>
        <v>3787.5422890625</v>
      </c>
      <c r="O89" s="145">
        <f>O83-O88</f>
        <v>3787.5422890625</v>
      </c>
      <c r="P89" s="146" t="n"/>
      <c r="Q89" s="145">
        <f>SUM(D89:G89)</f>
        <v>-187726.10546875</v>
      </c>
      <c r="R89" s="145">
        <f>SUM(H89:K89)</f>
        <v>2033.6026953125</v>
      </c>
      <c r="S89" s="145">
        <f>SUM(L89:O89)</f>
        <v>15150.16915625</v>
      </c>
      <c r="T89" s="145">
        <f>SUM(Q89:S89)</f>
        <v>-170542.333617188</v>
      </c>
    </row>
    <row r="90">
      <c r="B90" s="147" t="inlineStr">
        <is>
          <t>Cumulative cash</t>
        </is>
      </c>
      <c r="C90" s="148" t="inlineStr">
        <is>
          <t>£</t>
        </is>
      </c>
      <c r="D90" s="149">
        <f>D89</f>
        <v>-81250</v>
      </c>
      <c r="E90" s="149">
        <f>D90+E89</f>
        <v>-162500</v>
      </c>
      <c r="F90" s="149">
        <f>E90+F89</f>
        <v>-178045.22109375</v>
      </c>
      <c r="G90" s="149">
        <f>F90+G89</f>
        <v>-187726.10546875</v>
      </c>
      <c r="H90" s="149">
        <f>G90+H89</f>
        <v>-190174.307890625</v>
      </c>
      <c r="I90" s="149">
        <f>H90+I89</f>
        <v>-189397.125117188</v>
      </c>
      <c r="J90" s="149">
        <f>I90+J89</f>
        <v>-187544.813945313</v>
      </c>
      <c r="K90" s="149">
        <f>J90+K89</f>
        <v>-185692.502773438</v>
      </c>
      <c r="L90" s="149">
        <f>K90+L89</f>
        <v>-181904.960484375</v>
      </c>
      <c r="M90" s="149">
        <f>L90+M89</f>
        <v>-178117.418195313</v>
      </c>
      <c r="N90" s="149">
        <f>M90+N89</f>
        <v>-174329.87590625</v>
      </c>
      <c r="O90" s="149">
        <f>N90+O89</f>
        <v>-170542.333617188</v>
      </c>
      <c r="P90" s="150" t="n"/>
      <c r="Q90" s="149">
        <f>G90</f>
        <v>-187726.10546875</v>
      </c>
      <c r="R90" s="149">
        <f>K90</f>
        <v>-185692.502773438</v>
      </c>
      <c r="S90" s="149">
        <f>O90</f>
        <v>-170542.333617188</v>
      </c>
      <c r="T90" s="149">
        <f>S90</f>
        <v>-170542.333617188</v>
      </c>
    </row>
    <row r="91">
      <c r="B91" s="28" t="inlineStr">
        <is>
          <t>Discounted cash flow</t>
        </is>
      </c>
      <c r="C91" s="76" t="inlineStr">
        <is>
          <t>£</t>
        </is>
      </c>
      <c r="D91" s="140">
        <f>D89*D$50</f>
        <v>-79336.8947862002</v>
      </c>
      <c r="E91" s="140">
        <f>E89*E$50</f>
        <v>-77468.8353762044</v>
      </c>
      <c r="F91" s="140">
        <f>F89*F$50</f>
        <v>-14472.7942926851</v>
      </c>
      <c r="G91" s="140">
        <f>G89*G$50</f>
        <v>-8800.80397727273</v>
      </c>
      <c r="H91" s="140">
        <f>H89*H$50</f>
        <v>-2173.23387926845</v>
      </c>
      <c r="I91" s="140">
        <f>I89*I$50</f>
        <v>673.649726798896</v>
      </c>
      <c r="J91" s="140">
        <f>J89*J$50</f>
        <v>1567.749774844</v>
      </c>
      <c r="K91" s="140">
        <f>K89*K$50</f>
        <v>1530.83567923554</v>
      </c>
      <c r="L91" s="140">
        <f>L89*L$50</f>
        <v>3056.49682477442</v>
      </c>
      <c r="M91" s="140">
        <f>M89*M$50</f>
        <v>2984.52882463364</v>
      </c>
      <c r="N91" s="140">
        <f>N89*N$50</f>
        <v>2914.25537657035</v>
      </c>
      <c r="O91" s="140">
        <f>O89*O$50</f>
        <v>2845.6365808133</v>
      </c>
      <c r="Q91" s="140">
        <f>SUM(D91:G91)</f>
        <v>-180079.328432362</v>
      </c>
      <c r="R91" s="140">
        <f>SUM(H91:K91)</f>
        <v>1599.00130160998</v>
      </c>
      <c r="S91" s="140">
        <f>SUM(L91:O91)</f>
        <v>11800.9176067917</v>
      </c>
      <c r="T91" s="141">
        <f>SUM(Q91:S91)</f>
        <v>-166679.409523961</v>
      </c>
    </row>
    <row r="92">
      <c r="B92" s="147" t="inlineStr">
        <is>
          <t>Cumulative discounted cash (NPV to date)</t>
        </is>
      </c>
      <c r="C92" s="148" t="inlineStr">
        <is>
          <t>£</t>
        </is>
      </c>
      <c r="D92" s="149">
        <f>D91</f>
        <v>-79336.8947862002</v>
      </c>
      <c r="E92" s="149">
        <f>D92+E91</f>
        <v>-156805.730162405</v>
      </c>
      <c r="F92" s="149">
        <f>E92+F91</f>
        <v>-171278.52445509</v>
      </c>
      <c r="G92" s="149">
        <f>F92+G91</f>
        <v>-180079.328432362</v>
      </c>
      <c r="H92" s="149">
        <f>G92+H91</f>
        <v>-182252.562311631</v>
      </c>
      <c r="I92" s="149">
        <f>H92+I91</f>
        <v>-181578.912584832</v>
      </c>
      <c r="J92" s="149">
        <f>I92+J91</f>
        <v>-180011.162809988</v>
      </c>
      <c r="K92" s="149">
        <f>J92+K91</f>
        <v>-178480.327130752</v>
      </c>
      <c r="L92" s="149">
        <f>K92+L91</f>
        <v>-175423.830305978</v>
      </c>
      <c r="M92" s="149">
        <f>L92+M91</f>
        <v>-172439.301481344</v>
      </c>
      <c r="N92" s="149">
        <f>M92+N91</f>
        <v>-169525.046104774</v>
      </c>
      <c r="O92" s="149">
        <f>N92+O91</f>
        <v>-166679.409523961</v>
      </c>
      <c r="P92" s="150" t="n"/>
      <c r="Q92" s="149">
        <f>G92</f>
        <v>-180079.328432362</v>
      </c>
      <c r="R92" s="149">
        <f>K92</f>
        <v>-178480.327130752</v>
      </c>
      <c r="S92" s="149">
        <f>O92</f>
        <v>-166679.409523961</v>
      </c>
      <c r="T92" s="149">
        <f>S92</f>
        <v>-166679.409523961</v>
      </c>
    </row>
    <row r="93">
      <c r="B93" s="28" t="inlineStr">
        <is>
          <t>Operating cost of the queue with AI (excl. one-off)</t>
        </is>
      </c>
      <c r="C93" s="76" t="inlineStr">
        <is>
          <t>£</t>
        </is>
      </c>
      <c r="D93" s="140">
        <f>D$47*$D$27-D78*($D$27-$D$41)+D85+D86</f>
        <v>117000</v>
      </c>
      <c r="E93" s="140">
        <f>E$47*$D$27-E78*($D$27-$D$41)+E85+E86</f>
        <v>117000</v>
      </c>
      <c r="F93" s="140">
        <f>F$47*$D$27-F78*($D$27-$D$41)+F85+F86</f>
        <v>130989.3671875</v>
      </c>
      <c r="G93" s="140">
        <f>G$47*$D$27-G78*($D$27-$D$41)+G85+G86</f>
        <v>120457.46875</v>
      </c>
      <c r="H93" s="140">
        <f>H$47*$D$27-H78*($D$27-$D$41)+H85+H86</f>
        <v>119168.12734375</v>
      </c>
      <c r="I93" s="140">
        <f>I$47*$D$27-I78*($D$27-$D$41)+I85+I86</f>
        <v>113375.583203125</v>
      </c>
      <c r="J93" s="140">
        <f>J$47*$D$27-J78*($D$27-$D$41)+J85+J86</f>
        <v>111444.73515625</v>
      </c>
      <c r="K93" s="140">
        <f>K$47*$D$27-K78*($D$27-$D$41)+K85+K86</f>
        <v>111444.73515625</v>
      </c>
      <c r="L93" s="140">
        <f>L$47*$D$27-L78*($D$27-$D$41)+L85+L86</f>
        <v>120839.208671875</v>
      </c>
      <c r="M93" s="140">
        <f>M$47*$D$27-M78*($D$27-$D$41)+M85+M86</f>
        <v>120839.208671875</v>
      </c>
      <c r="N93" s="140">
        <f>N$47*$D$27-N78*($D$27-$D$41)+N85+N86</f>
        <v>120839.208671875</v>
      </c>
      <c r="O93" s="140">
        <f>O$47*$D$27-O78*($D$27-$D$41)+O85+O86</f>
        <v>120839.208671875</v>
      </c>
      <c r="Q93" s="140">
        <f>SUM(D93:G93)</f>
        <v>485446.8359375</v>
      </c>
      <c r="R93" s="140">
        <f>SUM(H93:K93)</f>
        <v>455433.180859375</v>
      </c>
      <c r="S93" s="140">
        <f>SUM(L93:O93)</f>
        <v>483356.8346875</v>
      </c>
      <c r="T93" s="141">
        <f>SUM(Q93:S93)</f>
        <v>1424236.85148438</v>
      </c>
    </row>
    <row r="94">
      <c r="B94" s="76" t="inlineStr">
        <is>
          <t>Payback helper: month in which cumulative cash turns positive</t>
        </is>
      </c>
      <c r="C94" s="76" t="inlineStr">
        <is>
          <t>month</t>
        </is>
      </c>
      <c r="D94" s="151" t="str">
        <f>IF(D90&gt;0,0,"")</f>
        <v/>
      </c>
      <c r="E94" s="151" t="str">
        <f>IF(AND(D90&lt;=0,E90&gt;0),3*(E$45-1)+3*(-D90)/E89,"")</f>
        <v/>
      </c>
      <c r="F94" s="151" t="str">
        <f>IF(AND(E90&lt;=0,F90&gt;0),3*(F$45-1)+3*(-E90)/F89,"")</f>
        <v/>
      </c>
      <c r="G94" s="151" t="str">
        <f>IF(AND(F90&lt;=0,G90&gt;0),3*(G$45-1)+3*(-F90)/G89,"")</f>
        <v/>
      </c>
      <c r="H94" s="151" t="str">
        <f>IF(AND(G90&lt;=0,H90&gt;0),3*(H$45-1)+3*(-G90)/H89,"")</f>
        <v/>
      </c>
      <c r="I94" s="151" t="str">
        <f>IF(AND(H90&lt;=0,I90&gt;0),3*(I$45-1)+3*(-H90)/I89,"")</f>
        <v/>
      </c>
      <c r="J94" s="151" t="str">
        <f>IF(AND(I90&lt;=0,J90&gt;0),3*(J$45-1)+3*(-I90)/J89,"")</f>
        <v/>
      </c>
      <c r="K94" s="151" t="str">
        <f>IF(AND(J90&lt;=0,K90&gt;0),3*(K$45-1)+3*(-J90)/K89,"")</f>
        <v/>
      </c>
      <c r="L94" s="151" t="str">
        <f>IF(AND(K90&lt;=0,L90&gt;0),3*(L$45-1)+3*(-K90)/L89,"")</f>
        <v/>
      </c>
      <c r="M94" s="151" t="str">
        <f>IF(AND(L90&lt;=0,M90&gt;0),3*(M$45-1)+3*(-L90)/M89,"")</f>
        <v/>
      </c>
      <c r="N94" s="151" t="str">
        <f>IF(AND(M90&lt;=0,N90&gt;0),3*(N$45-1)+3*(-M90)/N89,"")</f>
        <v/>
      </c>
      <c r="O94" s="151" t="str">
        <f>IF(AND(N90&lt;=0,O90&gt;0),3*(O$45-1)+3*(-N90)/O89,"")</f>
        <v/>
      </c>
    </row>
    <row r="96">
      <c r="B96" s="8" t="inlineStr">
        <is>
          <t>High case: quarter by quarter</t>
        </is>
      </c>
      <c r="C96" s="2" t="n"/>
      <c r="D96" s="2" t="n"/>
      <c r="E96" s="2" t="n"/>
      <c r="F96" s="2" t="n"/>
      <c r="G96" s="2" t="n"/>
      <c r="H96" s="2" t="n"/>
      <c r="I96" s="2" t="n"/>
      <c r="J96" s="2" t="n"/>
      <c r="K96" s="2" t="n"/>
      <c r="L96" s="2" t="n"/>
      <c r="M96" s="2" t="n"/>
      <c r="N96" s="2" t="n"/>
      <c r="O96" s="2" t="n"/>
      <c r="P96" s="2" t="n"/>
      <c r="Q96" s="2" t="n"/>
      <c r="R96" s="2" t="n"/>
      <c r="S96" s="2" t="n"/>
      <c r="T96" s="2" t="n"/>
    </row>
    <row r="97">
      <c r="B97" s="25" t="inlineStr">
        <is>
          <t>Line</t>
        </is>
      </c>
      <c r="C97" s="26" t="inlineStr">
        <is>
          <t>Unit</t>
        </is>
      </c>
      <c r="D97" s="26" t="inlineStr">
        <is>
          <t>Q1</t>
        </is>
      </c>
      <c r="E97" s="26" t="inlineStr">
        <is>
          <t>Q2</t>
        </is>
      </c>
      <c r="F97" s="26" t="inlineStr">
        <is>
          <t>Q3</t>
        </is>
      </c>
      <c r="G97" s="26" t="inlineStr">
        <is>
          <t>Q4</t>
        </is>
      </c>
      <c r="H97" s="26" t="inlineStr">
        <is>
          <t>Q5</t>
        </is>
      </c>
      <c r="I97" s="26" t="inlineStr">
        <is>
          <t>Q6</t>
        </is>
      </c>
      <c r="J97" s="26" t="inlineStr">
        <is>
          <t>Q7</t>
        </is>
      </c>
      <c r="K97" s="26" t="inlineStr">
        <is>
          <t>Q8</t>
        </is>
      </c>
      <c r="L97" s="26" t="inlineStr">
        <is>
          <t>Q9</t>
        </is>
      </c>
      <c r="M97" s="26" t="inlineStr">
        <is>
          <t>Q10</t>
        </is>
      </c>
      <c r="N97" s="26" t="inlineStr">
        <is>
          <t>Q11</t>
        </is>
      </c>
      <c r="O97" s="26" t="inlineStr">
        <is>
          <t>Q12</t>
        </is>
      </c>
      <c r="Q97" s="25" t="inlineStr">
        <is>
          <t>Year 1</t>
        </is>
      </c>
      <c r="R97" s="26" t="inlineStr">
        <is>
          <t>Year 2</t>
        </is>
      </c>
      <c r="S97" s="26" t="inlineStr">
        <is>
          <t>Year 3</t>
        </is>
      </c>
      <c r="T97" s="26" t="inlineStr">
        <is>
          <t>3 years</t>
        </is>
      </c>
    </row>
    <row r="98">
      <c r="B98" s="28" t="inlineStr">
        <is>
          <t>Share of volume through the AI workflow</t>
        </is>
      </c>
      <c r="C98" s="76" t="inlineStr">
        <is>
          <t>% vol</t>
        </is>
      </c>
      <c r="D98" s="138">
        <f>MIN(1,(D$45-Scenarios!$E$25&gt;=1)*INDEX($D$48:$O$48,1,MAX(1,D$45-Scenarios!$E$25))*Scenarios!$E$24)</f>
        <v>0</v>
      </c>
      <c r="E98" s="138">
        <f>MIN(1,(E$45-Scenarios!$E$25&gt;=1)*INDEX($D$48:$O$48,1,MAX(1,E$45-Scenarios!$E$25))*Scenarios!$E$24)</f>
        <v>0.105</v>
      </c>
      <c r="F98" s="138">
        <f>MIN(1,(F$45-Scenarios!$E$25&gt;=1)*INDEX($D$48:$O$48,1,MAX(1,F$45-Scenarios!$E$25))*Scenarios!$E$24)</f>
        <v>0.42</v>
      </c>
      <c r="G98" s="138">
        <f>MIN(1,(G$45-Scenarios!$E$25&gt;=1)*INDEX($D$48:$O$48,1,MAX(1,G$45-Scenarios!$E$25))*Scenarios!$E$24)</f>
        <v>0.735</v>
      </c>
      <c r="H98" s="138">
        <f>MIN(1,(H$45-Scenarios!$E$25&gt;=1)*INDEX($D$48:$O$48,1,MAX(1,H$45-Scenarios!$E$25))*Scenarios!$E$24)</f>
        <v>0.8925</v>
      </c>
      <c r="I98" s="138">
        <f>MIN(1,(I$45-Scenarios!$E$25&gt;=1)*INDEX($D$48:$O$48,1,MAX(1,I$45-Scenarios!$E$25))*Scenarios!$E$24)</f>
        <v>0.945</v>
      </c>
      <c r="J98" s="138">
        <f>MIN(1,(J$45-Scenarios!$E$25&gt;=1)*INDEX($D$48:$O$48,1,MAX(1,J$45-Scenarios!$E$25))*Scenarios!$E$24)</f>
        <v>0.945</v>
      </c>
      <c r="K98" s="138">
        <f>MIN(1,(K$45-Scenarios!$E$25&gt;=1)*INDEX($D$48:$O$48,1,MAX(1,K$45-Scenarios!$E$25))*Scenarios!$E$24)</f>
        <v>0.945</v>
      </c>
      <c r="L98" s="138">
        <f>MIN(1,(L$45-Scenarios!$E$25&gt;=1)*INDEX($D$48:$O$48,1,MAX(1,L$45-Scenarios!$E$25))*Scenarios!$E$24)</f>
        <v>0.945</v>
      </c>
      <c r="M98" s="138">
        <f>MIN(1,(M$45-Scenarios!$E$25&gt;=1)*INDEX($D$48:$O$48,1,MAX(1,M$45-Scenarios!$E$25))*Scenarios!$E$24)</f>
        <v>0.945</v>
      </c>
      <c r="N98" s="138">
        <f>MIN(1,(N$45-Scenarios!$E$25&gt;=1)*INDEX($D$48:$O$48,1,MAX(1,N$45-Scenarios!$E$25))*Scenarios!$E$24)</f>
        <v>0.945</v>
      </c>
      <c r="O98" s="138">
        <f>MIN(1,(O$45-Scenarios!$E$25&gt;=1)*INDEX($D$48:$O$48,1,MAX(1,O$45-Scenarios!$E$25))*Scenarios!$E$24)</f>
        <v>0.945</v>
      </c>
      <c r="Q98" s="138">
        <f>IF(SUM(D47:G47)=0,0,Q99/Q47)</f>
        <v>0.315</v>
      </c>
      <c r="R98" s="138">
        <f>IF(SUM(H47:K47)=0,0,R99/R47)</f>
        <v>0.931875</v>
      </c>
      <c r="S98" s="138">
        <f>IF(SUM(L47:O47)=0,0,S99/S47)</f>
        <v>0.945</v>
      </c>
      <c r="T98" s="142">
        <f>IF(T47=0,0,T99/T47)</f>
        <v>0.750305891238671</v>
      </c>
    </row>
    <row r="99">
      <c r="B99" s="28" t="inlineStr">
        <is>
          <t>Items through the AI workflow</t>
        </is>
      </c>
      <c r="C99" s="76" t="inlineStr">
        <is>
          <t>items</t>
        </is>
      </c>
      <c r="D99" s="135">
        <f>D$47*D98</f>
        <v>0</v>
      </c>
      <c r="E99" s="135">
        <f>E$47*E98</f>
        <v>315</v>
      </c>
      <c r="F99" s="135">
        <f>F$47*F98</f>
        <v>1260</v>
      </c>
      <c r="G99" s="135">
        <f>G$47*G98</f>
        <v>2205</v>
      </c>
      <c r="H99" s="135">
        <f>H$47*H98</f>
        <v>2945.25</v>
      </c>
      <c r="I99" s="135">
        <f>I$47*I98</f>
        <v>3118.5</v>
      </c>
      <c r="J99" s="135">
        <f>J$47*J98</f>
        <v>3118.5</v>
      </c>
      <c r="K99" s="135">
        <f>K$47*K98</f>
        <v>3118.5</v>
      </c>
      <c r="L99" s="135">
        <f>L$47*L98</f>
        <v>3430.35</v>
      </c>
      <c r="M99" s="135">
        <f>M$47*M98</f>
        <v>3430.35</v>
      </c>
      <c r="N99" s="135">
        <f>N$47*N98</f>
        <v>3430.35</v>
      </c>
      <c r="O99" s="135">
        <f>O$47*O98</f>
        <v>3430.35</v>
      </c>
      <c r="Q99" s="135">
        <f>SUM(D99:G99)</f>
        <v>3780</v>
      </c>
      <c r="R99" s="135">
        <f>SUM(H99:K99)</f>
        <v>12300.75</v>
      </c>
      <c r="S99" s="135">
        <f>SUM(L99:O99)</f>
        <v>13721.4</v>
      </c>
      <c r="T99" s="136">
        <f>SUM(Q99:S99)</f>
        <v>29802.15</v>
      </c>
    </row>
    <row r="100">
      <c r="B100" s="28" t="inlineStr">
        <is>
          <t>Live: platform and ongoing costs running (1 = yes)</t>
        </is>
      </c>
      <c r="C100" s="76" t="inlineStr">
        <is>
          <t>flag</t>
        </is>
      </c>
      <c r="D100" s="77">
        <f>IF(D$45-Scenarios!$E$25&gt;=GoLiveQ,1,0)</f>
        <v>0</v>
      </c>
      <c r="E100" s="77">
        <f>IF(E$45-Scenarios!$E$25&gt;=GoLiveQ,1,0)</f>
        <v>1</v>
      </c>
      <c r="F100" s="77">
        <f>IF(F$45-Scenarios!$E$25&gt;=GoLiveQ,1,0)</f>
        <v>1</v>
      </c>
      <c r="G100" s="77">
        <f>IF(G$45-Scenarios!$E$25&gt;=GoLiveQ,1,0)</f>
        <v>1</v>
      </c>
      <c r="H100" s="77">
        <f>IF(H$45-Scenarios!$E$25&gt;=GoLiveQ,1,0)</f>
        <v>1</v>
      </c>
      <c r="I100" s="77">
        <f>IF(I$45-Scenarios!$E$25&gt;=GoLiveQ,1,0)</f>
        <v>1</v>
      </c>
      <c r="J100" s="77">
        <f>IF(J$45-Scenarios!$E$25&gt;=GoLiveQ,1,0)</f>
        <v>1</v>
      </c>
      <c r="K100" s="77">
        <f>IF(K$45-Scenarios!$E$25&gt;=GoLiveQ,1,0)</f>
        <v>1</v>
      </c>
      <c r="L100" s="77">
        <f>IF(L$45-Scenarios!$E$25&gt;=GoLiveQ,1,0)</f>
        <v>1</v>
      </c>
      <c r="M100" s="77">
        <f>IF(M$45-Scenarios!$E$25&gt;=GoLiveQ,1,0)</f>
        <v>1</v>
      </c>
      <c r="N100" s="77">
        <f>IF(N$45-Scenarios!$E$25&gt;=GoLiveQ,1,0)</f>
        <v>1</v>
      </c>
      <c r="O100" s="77">
        <f>IF(O$45-Scenarios!$E$25&gt;=GoLiveQ,1,0)</f>
        <v>1</v>
      </c>
    </row>
    <row r="101">
      <c r="B101" s="28" t="inlineStr">
        <is>
          <t>Hours freed</t>
        </is>
      </c>
      <c r="C101" s="76" t="inlineStr">
        <is>
          <t>hours</t>
        </is>
      </c>
      <c r="D101" s="135">
        <f>D99*$F$33/60</f>
        <v>0</v>
      </c>
      <c r="E101" s="135">
        <f>E99*$F$33/60</f>
        <v>144.7411875</v>
      </c>
      <c r="F101" s="135">
        <f>F99*$F$33/60</f>
        <v>578.96475</v>
      </c>
      <c r="G101" s="135">
        <f>G99*$F$33/60</f>
        <v>1013.1883125</v>
      </c>
      <c r="H101" s="135">
        <f>H99*$F$33/60</f>
        <v>1353.330103125</v>
      </c>
      <c r="I101" s="135">
        <f>I99*$F$33/60</f>
        <v>1432.93775625</v>
      </c>
      <c r="J101" s="135">
        <f>J99*$F$33/60</f>
        <v>1432.93775625</v>
      </c>
      <c r="K101" s="135">
        <f>K99*$F$33/60</f>
        <v>1432.93775625</v>
      </c>
      <c r="L101" s="135">
        <f>L99*$F$33/60</f>
        <v>1576.231531875</v>
      </c>
      <c r="M101" s="135">
        <f>M99*$F$33/60</f>
        <v>1576.231531875</v>
      </c>
      <c r="N101" s="135">
        <f>N99*$F$33/60</f>
        <v>1576.231531875</v>
      </c>
      <c r="O101" s="135">
        <f>O99*$F$33/60</f>
        <v>1576.231531875</v>
      </c>
      <c r="Q101" s="135">
        <f>SUM(D101:G101)</f>
        <v>1736.89425</v>
      </c>
      <c r="R101" s="135">
        <f>SUM(H101:K101)</f>
        <v>5652.143371875</v>
      </c>
      <c r="S101" s="135">
        <f>SUM(L101:O101)</f>
        <v>6304.9261275</v>
      </c>
      <c r="T101" s="136">
        <f>SUM(Q101:S101)</f>
        <v>13693.963749375</v>
      </c>
    </row>
    <row r="102">
      <c r="B102" s="28" t="inlineStr">
        <is>
          <t>Value of freed time</t>
        </is>
      </c>
      <c r="C102" s="76" t="inlineStr">
        <is>
          <t>£</t>
        </is>
      </c>
      <c r="D102" s="140">
        <f>D99*$F$35</f>
        <v>0</v>
      </c>
      <c r="E102" s="140">
        <f>E99*$F$35</f>
        <v>5210.68275</v>
      </c>
      <c r="F102" s="140">
        <f>F99*$F$35</f>
        <v>20842.731</v>
      </c>
      <c r="G102" s="140">
        <f>G99*$F$35</f>
        <v>36474.77925</v>
      </c>
      <c r="H102" s="140">
        <f>H99*$F$35</f>
        <v>48719.8837125</v>
      </c>
      <c r="I102" s="140">
        <f>I99*$F$35</f>
        <v>51585.759225</v>
      </c>
      <c r="J102" s="140">
        <f>J99*$F$35</f>
        <v>51585.759225</v>
      </c>
      <c r="K102" s="140">
        <f>K99*$F$35</f>
        <v>51585.759225</v>
      </c>
      <c r="L102" s="140">
        <f>L99*$F$35</f>
        <v>56744.3351475</v>
      </c>
      <c r="M102" s="140">
        <f>M99*$F$35</f>
        <v>56744.3351475</v>
      </c>
      <c r="N102" s="140">
        <f>N99*$F$35</f>
        <v>56744.3351475</v>
      </c>
      <c r="O102" s="140">
        <f>O99*$F$35</f>
        <v>56744.3351475</v>
      </c>
      <c r="Q102" s="140">
        <f>SUM(D102:G102)</f>
        <v>62528.193</v>
      </c>
      <c r="R102" s="140">
        <f>SUM(H102:K102)</f>
        <v>203477.1613875</v>
      </c>
      <c r="S102" s="140">
        <f>SUM(L102:O102)</f>
        <v>226977.34059</v>
      </c>
      <c r="T102" s="141">
        <f>SUM(Q102:S102)</f>
        <v>492982.6949775</v>
      </c>
    </row>
    <row r="103">
      <c r="B103" s="28" t="inlineStr">
        <is>
          <t>Error cost avoided</t>
        </is>
      </c>
      <c r="C103" s="76" t="inlineStr">
        <is>
          <t>£</t>
        </is>
      </c>
      <c r="D103" s="140">
        <f>D99*$F$38</f>
        <v>0</v>
      </c>
      <c r="E103" s="140">
        <f>E99*$F$38</f>
        <v>1686.825</v>
      </c>
      <c r="F103" s="140">
        <f>F99*$F$38</f>
        <v>6747.3</v>
      </c>
      <c r="G103" s="140">
        <f>G99*$F$38</f>
        <v>11807.775</v>
      </c>
      <c r="H103" s="140">
        <f>H99*$F$38</f>
        <v>15771.81375</v>
      </c>
      <c r="I103" s="140">
        <f>I99*$F$38</f>
        <v>16699.5675</v>
      </c>
      <c r="J103" s="140">
        <f>J99*$F$38</f>
        <v>16699.5675</v>
      </c>
      <c r="K103" s="140">
        <f>K99*$F$38</f>
        <v>16699.5675</v>
      </c>
      <c r="L103" s="140">
        <f>L99*$F$38</f>
        <v>18369.52425</v>
      </c>
      <c r="M103" s="140">
        <f>M99*$F$38</f>
        <v>18369.52425</v>
      </c>
      <c r="N103" s="140">
        <f>N99*$F$38</f>
        <v>18369.52425</v>
      </c>
      <c r="O103" s="140">
        <f>O99*$F$38</f>
        <v>18369.52425</v>
      </c>
      <c r="Q103" s="140">
        <f>SUM(D103:G103)</f>
        <v>20241.9</v>
      </c>
      <c r="R103" s="140">
        <f>SUM(H103:K103)</f>
        <v>65870.51625</v>
      </c>
      <c r="S103" s="140">
        <f>SUM(L103:O103)</f>
        <v>73478.0970000001</v>
      </c>
      <c r="T103" s="141">
        <f>SUM(Q103:S103)</f>
        <v>159590.51325</v>
      </c>
    </row>
    <row r="104">
      <c r="B104" s="9" t="inlineStr">
        <is>
          <t>Total benefits</t>
        </is>
      </c>
      <c r="C104" s="76" t="inlineStr">
        <is>
          <t>£</t>
        </is>
      </c>
      <c r="D104" s="141">
        <f>D102+D103</f>
        <v>0</v>
      </c>
      <c r="E104" s="141">
        <f>E102+E103</f>
        <v>6897.50775</v>
      </c>
      <c r="F104" s="141">
        <f>F102+F103</f>
        <v>27590.031</v>
      </c>
      <c r="G104" s="141">
        <f>G102+G103</f>
        <v>48282.55425</v>
      </c>
      <c r="H104" s="141">
        <f>H102+H103</f>
        <v>64491.6974625</v>
      </c>
      <c r="I104" s="141">
        <f>I102+I103</f>
        <v>68285.326725</v>
      </c>
      <c r="J104" s="141">
        <f>J102+J103</f>
        <v>68285.326725</v>
      </c>
      <c r="K104" s="141">
        <f>K102+K103</f>
        <v>68285.326725</v>
      </c>
      <c r="L104" s="141">
        <f>L102+L103</f>
        <v>75113.8593975</v>
      </c>
      <c r="M104" s="141">
        <f>M102+M103</f>
        <v>75113.8593975</v>
      </c>
      <c r="N104" s="141">
        <f>N102+N103</f>
        <v>75113.8593975</v>
      </c>
      <c r="O104" s="141">
        <f>O102+O103</f>
        <v>75113.8593975</v>
      </c>
      <c r="Q104" s="141">
        <f>SUM(D104:G104)</f>
        <v>82770.093</v>
      </c>
      <c r="R104" s="141">
        <f>SUM(H104:K104)</f>
        <v>269347.6776375</v>
      </c>
      <c r="S104" s="141">
        <f>SUM(L104:O104)</f>
        <v>300455.43759</v>
      </c>
      <c r="T104" s="141">
        <f>SUM(Q104:S104)</f>
        <v>652573.2082275</v>
      </c>
    </row>
    <row r="105">
      <c r="B105" s="28" t="inlineStr">
        <is>
          <t>AI run cost</t>
        </is>
      </c>
      <c r="C105" s="76" t="inlineStr">
        <is>
          <t>£</t>
        </is>
      </c>
      <c r="D105" s="140">
        <f>D99*$F$39</f>
        <v>0</v>
      </c>
      <c r="E105" s="140">
        <f>E99*$F$39</f>
        <v>54.432</v>
      </c>
      <c r="F105" s="140">
        <f>F99*$F$39</f>
        <v>217.728</v>
      </c>
      <c r="G105" s="140">
        <f>G99*$F$39</f>
        <v>381.024</v>
      </c>
      <c r="H105" s="140">
        <f>H99*$F$39</f>
        <v>508.9392</v>
      </c>
      <c r="I105" s="140">
        <f>I99*$F$39</f>
        <v>538.8768</v>
      </c>
      <c r="J105" s="140">
        <f>J99*$F$39</f>
        <v>538.8768</v>
      </c>
      <c r="K105" s="140">
        <f>K99*$F$39</f>
        <v>538.8768</v>
      </c>
      <c r="L105" s="140">
        <f>L99*$F$39</f>
        <v>592.76448</v>
      </c>
      <c r="M105" s="140">
        <f>M99*$F$39</f>
        <v>592.76448</v>
      </c>
      <c r="N105" s="140">
        <f>N99*$F$39</f>
        <v>592.76448</v>
      </c>
      <c r="O105" s="140">
        <f>O99*$F$39</f>
        <v>592.76448</v>
      </c>
      <c r="Q105" s="140">
        <f>SUM(D105:G105)</f>
        <v>653.184</v>
      </c>
      <c r="R105" s="140">
        <f>SUM(H105:K105)</f>
        <v>2125.5696</v>
      </c>
      <c r="S105" s="140">
        <f>SUM(L105:O105)</f>
        <v>2371.05792</v>
      </c>
      <c r="T105" s="141">
        <f>SUM(Q105:S105)</f>
        <v>5149.81152</v>
      </c>
    </row>
    <row r="106">
      <c r="B106" s="28" t="inlineStr">
        <is>
          <t>Platform and hosting</t>
        </is>
      </c>
      <c r="C106" s="76" t="inlineStr">
        <is>
          <t>£</t>
        </is>
      </c>
      <c r="D106" s="140">
        <f>D100*in_Platform*3</f>
        <v>0</v>
      </c>
      <c r="E106" s="140">
        <f>E100*in_Platform*3</f>
        <v>4500</v>
      </c>
      <c r="F106" s="140">
        <f>F100*in_Platform*3</f>
        <v>4500</v>
      </c>
      <c r="G106" s="140">
        <f>G100*in_Platform*3</f>
        <v>4500</v>
      </c>
      <c r="H106" s="140">
        <f>H100*in_Platform*3</f>
        <v>4500</v>
      </c>
      <c r="I106" s="140">
        <f>I100*in_Platform*3</f>
        <v>4500</v>
      </c>
      <c r="J106" s="140">
        <f>J100*in_Platform*3</f>
        <v>4500</v>
      </c>
      <c r="K106" s="140">
        <f>K100*in_Platform*3</f>
        <v>4500</v>
      </c>
      <c r="L106" s="140">
        <f>L100*in_Platform*3</f>
        <v>4500</v>
      </c>
      <c r="M106" s="140">
        <f>M100*in_Platform*3</f>
        <v>4500</v>
      </c>
      <c r="N106" s="140">
        <f>N100*in_Platform*3</f>
        <v>4500</v>
      </c>
      <c r="O106" s="140">
        <f>O100*in_Platform*3</f>
        <v>4500</v>
      </c>
      <c r="Q106" s="140">
        <f>SUM(D106:G106)</f>
        <v>13500</v>
      </c>
      <c r="R106" s="140">
        <f>SUM(H106:K106)</f>
        <v>18000</v>
      </c>
      <c r="S106" s="140">
        <f>SUM(L106:O106)</f>
        <v>18000</v>
      </c>
      <c r="T106" s="141">
        <f>SUM(Q106:S106)</f>
        <v>49500</v>
      </c>
    </row>
    <row r="107">
      <c r="B107" s="28" t="inlineStr">
        <is>
          <t>Maintenance, evaluation upkeep and licences</t>
        </is>
      </c>
      <c r="C107" s="76" t="inlineStr">
        <is>
          <t>£</t>
        </is>
      </c>
      <c r="D107" s="140">
        <f>D100*in_OngoingAnnual/4</f>
        <v>0</v>
      </c>
      <c r="E107" s="140">
        <f>E100*in_OngoingAnnual/4</f>
        <v>13000</v>
      </c>
      <c r="F107" s="140">
        <f>F100*in_OngoingAnnual/4</f>
        <v>13000</v>
      </c>
      <c r="G107" s="140">
        <f>G100*in_OngoingAnnual/4</f>
        <v>13000</v>
      </c>
      <c r="H107" s="140">
        <f>H100*in_OngoingAnnual/4</f>
        <v>13000</v>
      </c>
      <c r="I107" s="140">
        <f>I100*in_OngoingAnnual/4</f>
        <v>13000</v>
      </c>
      <c r="J107" s="140">
        <f>J100*in_OngoingAnnual/4</f>
        <v>13000</v>
      </c>
      <c r="K107" s="140">
        <f>K100*in_OngoingAnnual/4</f>
        <v>13000</v>
      </c>
      <c r="L107" s="140">
        <f>L100*in_OngoingAnnual/4</f>
        <v>13000</v>
      </c>
      <c r="M107" s="140">
        <f>M100*in_OngoingAnnual/4</f>
        <v>13000</v>
      </c>
      <c r="N107" s="140">
        <f>N100*in_OngoingAnnual/4</f>
        <v>13000</v>
      </c>
      <c r="O107" s="140">
        <f>O100*in_OngoingAnnual/4</f>
        <v>13000</v>
      </c>
      <c r="Q107" s="140">
        <f>SUM(D107:G107)</f>
        <v>39000</v>
      </c>
      <c r="R107" s="140">
        <f>SUM(H107:K107)</f>
        <v>52000</v>
      </c>
      <c r="S107" s="140">
        <f>SUM(L107:O107)</f>
        <v>52000</v>
      </c>
      <c r="T107" s="141">
        <f>SUM(Q107:S107)</f>
        <v>143000</v>
      </c>
    </row>
    <row r="108">
      <c r="B108" s="28" t="inlineStr">
        <is>
          <t>One-off costs</t>
        </is>
      </c>
      <c r="C108" s="76" t="inlineStr">
        <is>
          <t>£</t>
        </is>
      </c>
      <c r="D108" s="140">
        <f>IF(D$45&lt;=in_Spread,Scenarios!$E$27/in_Spread,0)</f>
        <v>65000</v>
      </c>
      <c r="E108" s="140">
        <f>IF(E$45&lt;=in_Spread,Scenarios!$E$27/in_Spread,0)</f>
        <v>65000</v>
      </c>
      <c r="F108" s="140">
        <f>IF(F$45&lt;=in_Spread,Scenarios!$E$27/in_Spread,0)</f>
        <v>0</v>
      </c>
      <c r="G108" s="140">
        <f>IF(G$45&lt;=in_Spread,Scenarios!$E$27/in_Spread,0)</f>
        <v>0</v>
      </c>
      <c r="H108" s="140">
        <f>IF(H$45&lt;=in_Spread,Scenarios!$E$27/in_Spread,0)</f>
        <v>0</v>
      </c>
      <c r="I108" s="140">
        <f>IF(I$45&lt;=in_Spread,Scenarios!$E$27/in_Spread,0)</f>
        <v>0</v>
      </c>
      <c r="J108" s="140">
        <f>IF(J$45&lt;=in_Spread,Scenarios!$E$27/in_Spread,0)</f>
        <v>0</v>
      </c>
      <c r="K108" s="140">
        <f>IF(K$45&lt;=in_Spread,Scenarios!$E$27/in_Spread,0)</f>
        <v>0</v>
      </c>
      <c r="L108" s="140">
        <f>IF(L$45&lt;=in_Spread,Scenarios!$E$27/in_Spread,0)</f>
        <v>0</v>
      </c>
      <c r="M108" s="140">
        <f>IF(M$45&lt;=in_Spread,Scenarios!$E$27/in_Spread,0)</f>
        <v>0</v>
      </c>
      <c r="N108" s="140">
        <f>IF(N$45&lt;=in_Spread,Scenarios!$E$27/in_Spread,0)</f>
        <v>0</v>
      </c>
      <c r="O108" s="140">
        <f>IF(O$45&lt;=in_Spread,Scenarios!$E$27/in_Spread,0)</f>
        <v>0</v>
      </c>
      <c r="Q108" s="140">
        <f>SUM(D108:G108)</f>
        <v>130000</v>
      </c>
      <c r="R108" s="140">
        <f>SUM(H108:K108)</f>
        <v>0</v>
      </c>
      <c r="S108" s="140">
        <f>SUM(L108:O108)</f>
        <v>0</v>
      </c>
      <c r="T108" s="141">
        <f>SUM(Q108:S108)</f>
        <v>130000</v>
      </c>
    </row>
    <row r="109">
      <c r="B109" s="9" t="inlineStr">
        <is>
          <t>Total costs</t>
        </is>
      </c>
      <c r="C109" s="76" t="inlineStr">
        <is>
          <t>£</t>
        </is>
      </c>
      <c r="D109" s="141">
        <f>D105+D106+D107+D108</f>
        <v>65000</v>
      </c>
      <c r="E109" s="141">
        <f>E105+E106+E107+E108</f>
        <v>82554.432</v>
      </c>
      <c r="F109" s="141">
        <f>F105+F106+F107+F108</f>
        <v>17717.728</v>
      </c>
      <c r="G109" s="141">
        <f>G105+G106+G107+G108</f>
        <v>17881.024</v>
      </c>
      <c r="H109" s="141">
        <f>H105+H106+H107+H108</f>
        <v>18008.9392</v>
      </c>
      <c r="I109" s="141">
        <f>I105+I106+I107+I108</f>
        <v>18038.8768</v>
      </c>
      <c r="J109" s="141">
        <f>J105+J106+J107+J108</f>
        <v>18038.8768</v>
      </c>
      <c r="K109" s="141">
        <f>K105+K106+K107+K108</f>
        <v>18038.8768</v>
      </c>
      <c r="L109" s="141">
        <f>L105+L106+L107+L108</f>
        <v>18092.76448</v>
      </c>
      <c r="M109" s="141">
        <f>M105+M106+M107+M108</f>
        <v>18092.76448</v>
      </c>
      <c r="N109" s="141">
        <f>N105+N106+N107+N108</f>
        <v>18092.76448</v>
      </c>
      <c r="O109" s="141">
        <f>O105+O106+O107+O108</f>
        <v>18092.76448</v>
      </c>
      <c r="Q109" s="141">
        <f>SUM(D109:G109)</f>
        <v>183153.184</v>
      </c>
      <c r="R109" s="141">
        <f>SUM(H109:K109)</f>
        <v>72125.5696</v>
      </c>
      <c r="S109" s="141">
        <f>SUM(L109:O109)</f>
        <v>72371.05792</v>
      </c>
      <c r="T109" s="141">
        <f>SUM(Q109:S109)</f>
        <v>327649.81152</v>
      </c>
    </row>
    <row r="110">
      <c r="B110" s="143" t="inlineStr">
        <is>
          <t>Net cash flow</t>
        </is>
      </c>
      <c r="C110" s="144" t="inlineStr">
        <is>
          <t>£</t>
        </is>
      </c>
      <c r="D110" s="145">
        <f>D104-D109</f>
        <v>-65000</v>
      </c>
      <c r="E110" s="145">
        <f>E104-E109</f>
        <v>-75656.92425</v>
      </c>
      <c r="F110" s="145">
        <f>F104-F109</f>
        <v>9872.30300000001</v>
      </c>
      <c r="G110" s="145">
        <f>G104-G109</f>
        <v>30401.53025</v>
      </c>
      <c r="H110" s="145">
        <f>H104-H109</f>
        <v>46482.7582625</v>
      </c>
      <c r="I110" s="145">
        <f>I104-I109</f>
        <v>50246.449925</v>
      </c>
      <c r="J110" s="145">
        <f>J104-J109</f>
        <v>50246.449925</v>
      </c>
      <c r="K110" s="145">
        <f>K104-K109</f>
        <v>50246.449925</v>
      </c>
      <c r="L110" s="145">
        <f>L104-L109</f>
        <v>57021.0949175</v>
      </c>
      <c r="M110" s="145">
        <f>M104-M109</f>
        <v>57021.0949175</v>
      </c>
      <c r="N110" s="145">
        <f>N104-N109</f>
        <v>57021.0949175</v>
      </c>
      <c r="O110" s="145">
        <f>O104-O109</f>
        <v>57021.0949175</v>
      </c>
      <c r="P110" s="146" t="n"/>
      <c r="Q110" s="145">
        <f>SUM(D110:G110)</f>
        <v>-100383.091</v>
      </c>
      <c r="R110" s="145">
        <f>SUM(H110:K110)</f>
        <v>197222.1080375</v>
      </c>
      <c r="S110" s="145">
        <f>SUM(L110:O110)</f>
        <v>228084.37967</v>
      </c>
      <c r="T110" s="145">
        <f>SUM(Q110:S110)</f>
        <v>324923.3967075</v>
      </c>
    </row>
    <row r="111">
      <c r="B111" s="147" t="inlineStr">
        <is>
          <t>Cumulative cash</t>
        </is>
      </c>
      <c r="C111" s="148" t="inlineStr">
        <is>
          <t>£</t>
        </is>
      </c>
      <c r="D111" s="149">
        <f>D110</f>
        <v>-65000</v>
      </c>
      <c r="E111" s="149">
        <f>D111+E110</f>
        <v>-140656.92425</v>
      </c>
      <c r="F111" s="149">
        <f>E111+F110</f>
        <v>-130784.62125</v>
      </c>
      <c r="G111" s="149">
        <f>F111+G110</f>
        <v>-100383.091</v>
      </c>
      <c r="H111" s="149">
        <f>G111+H110</f>
        <v>-53900.3327375</v>
      </c>
      <c r="I111" s="149">
        <f>H111+I110</f>
        <v>-3653.88281249993</v>
      </c>
      <c r="J111" s="149">
        <f>I111+J110</f>
        <v>46592.5671125001</v>
      </c>
      <c r="K111" s="149">
        <f>J111+K110</f>
        <v>96839.0170375001</v>
      </c>
      <c r="L111" s="149">
        <f>K111+L110</f>
        <v>153860.111955</v>
      </c>
      <c r="M111" s="149">
        <f>L111+M110</f>
        <v>210881.2068725</v>
      </c>
      <c r="N111" s="149">
        <f>M111+N110</f>
        <v>267902.30179</v>
      </c>
      <c r="O111" s="149">
        <f>N111+O110</f>
        <v>324923.3967075</v>
      </c>
      <c r="P111" s="150" t="n"/>
      <c r="Q111" s="149">
        <f>G111</f>
        <v>-100383.091</v>
      </c>
      <c r="R111" s="149">
        <f>K111</f>
        <v>96839.0170375001</v>
      </c>
      <c r="S111" s="149">
        <f>O111</f>
        <v>324923.3967075</v>
      </c>
      <c r="T111" s="149">
        <f>S111</f>
        <v>324923.3967075</v>
      </c>
    </row>
    <row r="112">
      <c r="B112" s="28" t="inlineStr">
        <is>
          <t>Discounted cash flow</t>
        </is>
      </c>
      <c r="C112" s="76" t="inlineStr">
        <is>
          <t>£</t>
        </is>
      </c>
      <c r="D112" s="140">
        <f>D110*D$50</f>
        <v>-63469.5158289602</v>
      </c>
      <c r="E112" s="140">
        <f>E110*E$50</f>
        <v>-72136.0468897626</v>
      </c>
      <c r="F112" s="140">
        <f>F110*F$50</f>
        <v>9191.23695008131</v>
      </c>
      <c r="G112" s="140">
        <f>G110*G$50</f>
        <v>27637.7547727273</v>
      </c>
      <c r="H112" s="140">
        <f>H110*H$50</f>
        <v>41262.0721862304</v>
      </c>
      <c r="I112" s="140">
        <f>I110*I$50</f>
        <v>43552.8274962632</v>
      </c>
      <c r="J112" s="140">
        <f>J110*J$50</f>
        <v>42527.3365256931</v>
      </c>
      <c r="K112" s="140">
        <f>K110*K$50</f>
        <v>41525.9916735537</v>
      </c>
      <c r="L112" s="140">
        <f>L110*L$50</f>
        <v>46015.2738264578</v>
      </c>
      <c r="M112" s="140">
        <f>M110*M$50</f>
        <v>44931.80231542</v>
      </c>
      <c r="N112" s="140">
        <f>N110*N$50</f>
        <v>43873.8421274194</v>
      </c>
      <c r="O112" s="140">
        <f>O110*O$50</f>
        <v>42840.7925751315</v>
      </c>
      <c r="Q112" s="140">
        <f>SUM(D112:G112)</f>
        <v>-98776.5709959142</v>
      </c>
      <c r="R112" s="140">
        <f>SUM(H112:K112)</f>
        <v>168868.22788174</v>
      </c>
      <c r="S112" s="140">
        <f>SUM(L112:O112)</f>
        <v>177661.710844429</v>
      </c>
      <c r="T112" s="141">
        <f>SUM(Q112:S112)</f>
        <v>247753.367730255</v>
      </c>
    </row>
    <row r="113">
      <c r="B113" s="147" t="inlineStr">
        <is>
          <t>Cumulative discounted cash (NPV to date)</t>
        </is>
      </c>
      <c r="C113" s="148" t="inlineStr">
        <is>
          <t>£</t>
        </is>
      </c>
      <c r="D113" s="149">
        <f>D112</f>
        <v>-63469.5158289602</v>
      </c>
      <c r="E113" s="149">
        <f>D113+E112</f>
        <v>-135605.562718723</v>
      </c>
      <c r="F113" s="149">
        <f>E113+F112</f>
        <v>-126414.325768641</v>
      </c>
      <c r="G113" s="149">
        <f>F113+G112</f>
        <v>-98776.5709959142</v>
      </c>
      <c r="H113" s="149">
        <f>G113+H112</f>
        <v>-57514.4988096838</v>
      </c>
      <c r="I113" s="149">
        <f>H113+I112</f>
        <v>-13961.6713134206</v>
      </c>
      <c r="J113" s="149">
        <f>I113+J112</f>
        <v>28565.6652122724</v>
      </c>
      <c r="K113" s="149">
        <f>J113+K112</f>
        <v>70091.6568858262</v>
      </c>
      <c r="L113" s="149">
        <f>K113+L112</f>
        <v>116106.930712284</v>
      </c>
      <c r="M113" s="149">
        <f>L113+M112</f>
        <v>161038.733027704</v>
      </c>
      <c r="N113" s="149">
        <f>M113+N112</f>
        <v>204912.575155123</v>
      </c>
      <c r="O113" s="149">
        <f>N113+O112</f>
        <v>247753.367730255</v>
      </c>
      <c r="P113" s="150" t="n"/>
      <c r="Q113" s="149">
        <f>G113</f>
        <v>-98776.5709959142</v>
      </c>
      <c r="R113" s="149">
        <f>K113</f>
        <v>70091.6568858262</v>
      </c>
      <c r="S113" s="149">
        <f>O113</f>
        <v>247753.367730255</v>
      </c>
      <c r="T113" s="149">
        <f>S113</f>
        <v>247753.367730255</v>
      </c>
    </row>
    <row r="114">
      <c r="B114" s="28" t="inlineStr">
        <is>
          <t>Operating cost of the queue with AI (excl. one-off)</t>
        </is>
      </c>
      <c r="C114" s="76" t="inlineStr">
        <is>
          <t>£</t>
        </is>
      </c>
      <c r="D114" s="140">
        <f>D$47*$F$27-D99*($F$27-$F$41)+D106+D107</f>
        <v>117000</v>
      </c>
      <c r="E114" s="140">
        <f>E$47*$F$27-E99*($F$27-$F$41)+E106+E107</f>
        <v>126354.2535625</v>
      </c>
      <c r="F114" s="140">
        <f>F$47*$F$27-F99*($F$27-$F$41)+F106+F107</f>
        <v>101917.01425</v>
      </c>
      <c r="G114" s="140">
        <f>G$47*$F$27-G99*($F$27-$F$41)+G106+G107</f>
        <v>77479.7749375</v>
      </c>
      <c r="H114" s="140">
        <f>H$47*$F$27-H99*($F$27-$F$41)+H106+H107</f>
        <v>70037.270809375</v>
      </c>
      <c r="I114" s="140">
        <f>I$47*$F$27-I99*($F$27-$F$41)+I106+I107</f>
        <v>65557.11026875</v>
      </c>
      <c r="J114" s="140">
        <f>J$47*$F$27-J99*($F$27-$F$41)+J106+J107</f>
        <v>65557.11026875</v>
      </c>
      <c r="K114" s="140">
        <f>K$47*$F$27-K99*($F$27-$F$41)+K106+K107</f>
        <v>65557.11026875</v>
      </c>
      <c r="L114" s="140">
        <f>L$47*$F$27-L99*($F$27-$F$41)+L106+L107</f>
        <v>70362.821295625</v>
      </c>
      <c r="M114" s="140">
        <f>M$47*$F$27-M99*($F$27-$F$41)+M106+M107</f>
        <v>70362.821295625</v>
      </c>
      <c r="N114" s="140">
        <f>N$47*$F$27-N99*($F$27-$F$41)+N106+N107</f>
        <v>70362.821295625</v>
      </c>
      <c r="O114" s="140">
        <f>O$47*$F$27-O99*($F$27-$F$41)+O106+O107</f>
        <v>70362.821295625</v>
      </c>
      <c r="Q114" s="140">
        <f>SUM(D114:G114)</f>
        <v>422751.04275</v>
      </c>
      <c r="R114" s="140">
        <f>SUM(H114:K114)</f>
        <v>266708.601615625</v>
      </c>
      <c r="S114" s="140">
        <f>SUM(L114:O114)</f>
        <v>281451.2851825</v>
      </c>
      <c r="T114" s="141">
        <f>SUM(Q114:S114)</f>
        <v>970910.929548125</v>
      </c>
    </row>
    <row r="115">
      <c r="B115" s="76" t="inlineStr">
        <is>
          <t>Payback helper: month in which cumulative cash turns positive</t>
        </is>
      </c>
      <c r="C115" s="76" t="inlineStr">
        <is>
          <t>month</t>
        </is>
      </c>
      <c r="D115" s="151" t="str">
        <f>IF(D111&gt;0,0,"")</f>
        <v/>
      </c>
      <c r="E115" s="151" t="str">
        <f>IF(AND(D111&lt;=0,E111&gt;0),3*(E$45-1)+3*(-D111)/E110,"")</f>
        <v/>
      </c>
      <c r="F115" s="151" t="str">
        <f>IF(AND(E111&lt;=0,F111&gt;0),3*(F$45-1)+3*(-E111)/F110,"")</f>
        <v/>
      </c>
      <c r="G115" s="151" t="str">
        <f>IF(AND(F111&lt;=0,G111&gt;0),3*(G$45-1)+3*(-F111)/G110,"")</f>
        <v/>
      </c>
      <c r="H115" s="151" t="str">
        <f>IF(AND(G111&lt;=0,H111&gt;0),3*(H$45-1)+3*(-G111)/H110,"")</f>
        <v/>
      </c>
      <c r="I115" s="151" t="str">
        <f>IF(AND(H111&lt;=0,I111&gt;0),3*(I$45-1)+3*(-H111)/I110,"")</f>
        <v/>
      </c>
      <c r="J115" s="151">
        <f>IF(AND(I111&lt;=0,J111&gt;0),3*(J$45-1)+3*(-I111)/J110,"")</f>
        <v>18.2181576699222</v>
      </c>
      <c r="K115" s="151" t="str">
        <f>IF(AND(J111&lt;=0,K111&gt;0),3*(K$45-1)+3*(-J111)/K110,"")</f>
        <v/>
      </c>
      <c r="L115" s="151" t="str">
        <f>IF(AND(K111&lt;=0,L111&gt;0),3*(L$45-1)+3*(-K111)/L110,"")</f>
        <v/>
      </c>
      <c r="M115" s="151" t="str">
        <f>IF(AND(L111&lt;=0,M111&gt;0),3*(M$45-1)+3*(-L111)/M110,"")</f>
        <v/>
      </c>
      <c r="N115" s="151" t="str">
        <f>IF(AND(M111&lt;=0,N111&gt;0),3*(N$45-1)+3*(-M111)/N110,"")</f>
        <v/>
      </c>
      <c r="O115" s="151" t="str">
        <f>IF(AND(N111&lt;=0,O111&gt;0),3*(O$45-1)+3*(-N111)/O110,"")</f>
        <v/>
      </c>
    </row>
    <row r="118">
      <c r="B118" s="8" t="inlineStr">
        <is>
          <t>Checks</t>
        </is>
      </c>
      <c r="C118" s="2" t="n"/>
      <c r="D118" s="2" t="n"/>
      <c r="E118" s="2" t="n"/>
      <c r="F118" s="2" t="n"/>
      <c r="G118" s="2" t="n"/>
      <c r="H118" s="2" t="n"/>
      <c r="I118" s="2" t="n"/>
      <c r="J118" s="2" t="n"/>
      <c r="K118" s="2" t="n"/>
      <c r="L118" s="2" t="n"/>
      <c r="M118" s="2" t="n"/>
      <c r="N118" s="2" t="n"/>
      <c r="O118" s="2" t="n"/>
      <c r="P118" s="2" t="n"/>
      <c r="Q118" s="2" t="n"/>
      <c r="R118" s="2" t="n"/>
      <c r="S118" s="2" t="n"/>
      <c r="T118" s="2" t="n"/>
    </row>
    <row r="119">
      <c r="B119" s="28" t="inlineStr">
        <is>
          <t>The Engine tab reproduces the Model's NPV for Low, Base, High and Selected</t>
        </is>
      </c>
      <c r="D119" s="152" t="str">
        <f>IF(MAX(ABS(Engine!AB5-D8),ABS(Engine!AB6-E8),ABS(Engine!AB7-F8),ABS(Engine!AB8-G8))&lt;0.01,"OK","CHECK")</f>
        <v>OK</v>
      </c>
    </row>
    <row r="120">
      <c r="B120" s="28" t="inlineStr">
        <is>
          <t>Adoption never exceeds 100% of volume</t>
        </is>
      </c>
      <c r="D120" s="152" t="str">
        <f>IF(MAX(D77:O77,D56:O56,D98:O98)&lt;=1.000001,"OK","CHECK")</f>
        <v>OK</v>
      </c>
    </row>
    <row r="121">
      <c r="B121" s="28" t="inlineStr">
        <is>
          <t>Cumulative discounted cash equals the NPV in every scenario</t>
        </is>
      </c>
      <c r="D121" s="152" t="str">
        <f>IF(MAX(ABS(O92-T91),ABS(O71-T70),ABS(O113-T112))&lt;0.01,"OK","CHECK")</f>
        <v>OK</v>
      </c>
    </row>
    <row r="122">
      <c r="B122" s="28" t="inlineStr">
        <is>
          <t>Low case is no better than High case (NPV)</t>
        </is>
      </c>
      <c r="D122" s="152" t="str">
        <f>IF(D8&lt;=F8+0.01,"OK","CHECK")</f>
        <v>OK</v>
      </c>
      <c r="E122" s="76" t="inlineStr">
        <is>
          <t>If this fails, a Low setting on Scenarios is more optimistic than its High setting.</t>
        </is>
      </c>
    </row>
    <row r="123">
      <c r="B123" s="9" t="inlineStr">
        <is>
          <t>All checks</t>
        </is>
      </c>
      <c r="D123" s="153" t="str">
        <f>IF((D119="CHECK")+(D120="CHECK")+(D121="CHECK")+(D122="CHECK")=0,"All OK","CHECK")</f>
        <v>All OK</v>
      </c>
    </row>
  </sheetData>
  <mergeCells count="1">
    <mergeCell ref="B2:T2"/>
  </mergeCells>
  <conditionalFormatting sqref="D119">
    <cfRule type="cellIs" priority="1" operator="equal" dxfId="1">
      <formula>"CHECK"</formula>
    </cfRule>
  </conditionalFormatting>
  <conditionalFormatting sqref="D120">
    <cfRule type="cellIs" priority="2" operator="equal" dxfId="1">
      <formula>"CHECK"</formula>
    </cfRule>
  </conditionalFormatting>
  <conditionalFormatting sqref="D121">
    <cfRule type="cellIs" priority="3" operator="equal" dxfId="1">
      <formula>"CHECK"</formula>
    </cfRule>
  </conditionalFormatting>
  <conditionalFormatting sqref="D122">
    <cfRule type="cellIs" priority="4" operator="equal" dxfId="1">
      <formula>"CHECK"</formula>
    </cfRule>
  </conditionalFormatting>
  <conditionalFormatting sqref="D123">
    <cfRule type="cellIs" priority="5" operator="equal" dxfId="1">
      <formula>"CHECK"</formula>
    </cfRule>
  </conditionalFormatting>
  <pageMargins left="0.75" right="0.75" top="1" bottom="1" header="0.5" footer="0.5"/>
  <pageSetup orientation="landscape" fitToHeight="0" fitToWidth="1"/>
</worksheet>
</file>

<file path=xl/worksheets/sheet5.xml><?xml version="1.0" encoding="utf-8"?>
<worksheet xmlns="http://schemas.openxmlformats.org/spreadsheetml/2006/main">
  <sheetPr>
    <tabColor rgb="006F7F95"/>
    <outlinePr summaryBelow="1" summaryRight="1"/>
    <pageSetUpPr fitToPage="1"/>
  </sheetPr>
  <dimension ref="B1:I48"/>
  <sheetViews>
    <sheetView showGridLines="0" workbookViewId="0">
      <selection activeCell="A1" sqref="A1"/>
    </sheetView>
  </sheetViews>
  <sheetFormatPr baseColWidth="8" defaultRowHeight="15"/>
  <cols>
    <col width="2" customWidth="1" min="1" max="1"/>
    <col width="46" customWidth="1" min="2" max="2"/>
    <col width="16" customWidth="1" min="3" max="3"/>
    <col width="16" customWidth="1" min="4" max="4"/>
    <col width="16" customWidth="1" min="5" max="5"/>
    <col width="16" customWidth="1" min="6" max="6"/>
    <col width="16" customWidth="1" min="7" max="7"/>
    <col width="16" customWidth="1" min="8" max="8"/>
    <col width="12" customWidth="1" min="9" max="9"/>
  </cols>
  <sheetData>
    <row r="1" ht="30" customHeight="1">
      <c r="B1" s="24" t="inlineStr">
        <is>
          <t>Sensitivity</t>
        </is>
      </c>
      <c r="C1" s="2" t="n"/>
      <c r="D1" s="2" t="n"/>
      <c r="E1" s="2" t="n"/>
      <c r="F1" s="2" t="n"/>
      <c r="G1" s="2" t="n"/>
      <c r="H1" s="2" t="n"/>
      <c r="I1" s="2" t="n"/>
    </row>
    <row r="2">
      <c r="B2" s="9" t="str">
        <f>"Which assumptions does the case depend on, and how far can they move? Scenario analysed: "&amp;in_Scenario&amp;" (change it on Inputs, cell C7)."</f>
        <v>Which assumptions does the case depend on, and how far can they move? Scenario analysed: Base (change it on Inputs, cell C7).</v>
      </c>
    </row>
    <row r="3">
      <c r="B3" s="86" t="inlineStr">
        <is>
          <t>Break-even means a 3-year NPV of zero. Every number here is calculated by rerunning the full model on the Engine tab.</t>
        </is>
      </c>
    </row>
    <row r="5">
      <c r="B5" s="8" t="inlineStr">
        <is>
          <t>What has to be true: how far each assumption can move before the case breaks even</t>
        </is>
      </c>
      <c r="C5" s="2" t="n"/>
      <c r="D5" s="2" t="n"/>
      <c r="E5" s="2" t="n"/>
      <c r="F5" s="2" t="n"/>
      <c r="G5" s="2" t="n"/>
      <c r="H5" s="2" t="n"/>
      <c r="I5" s="2" t="n"/>
    </row>
    <row r="6">
      <c r="B6" s="25" t="inlineStr">
        <is>
          <t>Assumption</t>
        </is>
      </c>
      <c r="C6" s="26" t="inlineStr">
        <is>
          <t>Assumed</t>
        </is>
      </c>
      <c r="D6" s="26" t="inlineStr">
        <is>
          <t>Break-even</t>
        </is>
      </c>
      <c r="E6" s="26" t="inlineStr">
        <is>
          <t>What has to be true</t>
        </is>
      </c>
      <c r="F6" s="154" t="n"/>
      <c r="G6" s="154" t="n"/>
      <c r="H6" s="155" t="n"/>
      <c r="I6" s="26" t="inlineStr">
        <is>
          <t>Check</t>
        </is>
      </c>
    </row>
    <row r="7" ht="28" customHeight="1">
      <c r="B7" s="33" t="inlineStr">
        <is>
          <t>AI accuracy</t>
        </is>
      </c>
      <c r="C7" s="156">
        <f>Engine!D82</f>
        <v>0.92</v>
      </c>
      <c r="D7" s="157">
        <f>Engine!L82</f>
        <v>0.803029988325633</v>
      </c>
      <c r="E7" s="37" t="str">
        <f>Engine!O82</f>
        <v>AI accuracy stays above 80.3% (assumed 92.0%).</v>
      </c>
      <c r="I7" s="158" t="str">
        <f>Engine!N82</f>
        <v>OK</v>
      </c>
    </row>
    <row r="8" ht="28" customHeight="1">
      <c r="B8" s="33" t="inlineStr">
        <is>
          <t>Share of items the AI handles</t>
        </is>
      </c>
      <c r="C8" s="156">
        <f>Engine!D83</f>
        <v>0.8</v>
      </c>
      <c r="D8" s="157">
        <f>Engine!L83</f>
        <v>0.576717910277482</v>
      </c>
      <c r="E8" s="37" t="str">
        <f>Engine!O83</f>
        <v>The AI handles at least 57.7% of items (assumed 80.0%).</v>
      </c>
      <c r="I8" s="158" t="str">
        <f>Engine!N83</f>
        <v>OK</v>
      </c>
    </row>
    <row r="9" ht="28" customHeight="1">
      <c r="B9" s="33" t="inlineStr">
        <is>
          <t>Human minutes per reviewed item</t>
        </is>
      </c>
      <c r="C9" s="159">
        <f>Engine!D84</f>
        <v>8</v>
      </c>
      <c r="D9" s="160">
        <f>Engine!L84</f>
        <v>19.5173686495083</v>
      </c>
      <c r="E9" s="37" t="str">
        <f>Engine!O84</f>
        <v>Review takes less than 19.5 minutes per application (assumed 8.0).</v>
      </c>
      <c r="I9" s="158" t="str">
        <f>Engine!N84</f>
        <v>OK</v>
      </c>
    </row>
    <row r="10" ht="28" customHeight="1">
      <c r="B10" s="33" t="inlineStr">
        <is>
          <t>Share of freed time that becomes real value</t>
        </is>
      </c>
      <c r="C10" s="156">
        <f>Engine!D85</f>
        <v>0.7</v>
      </c>
      <c r="D10" s="157">
        <f>Engine!L85</f>
        <v>0.439762490166051</v>
      </c>
      <c r="E10" s="37" t="str">
        <f>Engine!O85</f>
        <v>At least 44.0% of the freed time becomes real value (assumed 70.0%).</v>
      </c>
      <c r="I10" s="158" t="str">
        <f>Engine!N85</f>
        <v>OK</v>
      </c>
    </row>
    <row r="11" ht="28" customHeight="1">
      <c r="B11" s="33" t="inlineStr">
        <is>
          <t>Adoption achieved vs plan</t>
        </is>
      </c>
      <c r="C11" s="161">
        <f>Engine!D86</f>
        <v>1</v>
      </c>
      <c r="D11" s="162">
        <f>Engine!L86</f>
        <v>0.717375094487283</v>
      </c>
      <c r="E11" s="37" t="str">
        <f>Engine!O86</f>
        <v>Adoption reaches at least 72% of plan (assumed 100%).</v>
      </c>
      <c r="I11" s="158" t="str">
        <f>Engine!N86</f>
        <v>OK</v>
      </c>
    </row>
    <row r="12" ht="28" customHeight="1">
      <c r="B12" s="33" t="inlineStr">
        <is>
          <t>Run cost per item</t>
        </is>
      </c>
      <c r="C12" s="163">
        <f>Engine!D87</f>
        <v>0.216</v>
      </c>
      <c r="D12" s="164">
        <f>Engine!L87</f>
        <v>5.05329483279439</v>
      </c>
      <c r="E12" s="37" t="str">
        <f>Engine!O87</f>
        <v>Run cost stays below £5.05 per application (assumed £0.22).</v>
      </c>
      <c r="I12" s="158" t="str">
        <f>Engine!N87</f>
        <v>OK</v>
      </c>
    </row>
    <row r="13" ht="28" customHeight="1">
      <c r="B13" s="33" t="inlineStr">
        <is>
          <t>One-off cost</t>
        </is>
      </c>
      <c r="C13" s="103">
        <f>Engine!D88</f>
        <v>130000</v>
      </c>
      <c r="D13" s="114">
        <f>Engine!L88</f>
        <v>247924.727831702</v>
      </c>
      <c r="E13" s="37" t="str">
        <f>Engine!O88</f>
        <v>One-off costs stay below £247,925 (assumed £130,000).</v>
      </c>
      <c r="I13" s="158" t="str">
        <f>Engine!N88</f>
        <v>OK</v>
      </c>
    </row>
    <row r="15">
      <c r="B15" s="8" t="inlineStr">
        <is>
          <t>One-way sensitivity: 3-year NPV as one assumption moves, everything else as assumed</t>
        </is>
      </c>
      <c r="C15" s="2" t="n"/>
      <c r="D15" s="2" t="n"/>
      <c r="E15" s="2" t="n"/>
      <c r="F15" s="2" t="n"/>
      <c r="G15" s="2" t="n"/>
      <c r="H15" s="2" t="n"/>
      <c r="I15" s="2" t="n"/>
    </row>
    <row r="16">
      <c r="B16" s="25" t="inlineStr">
        <is>
          <t>Assumption</t>
        </is>
      </c>
      <c r="C16" s="26" t="inlineStr"/>
      <c r="D16" s="26" t="inlineStr">
        <is>
          <t>Much worse</t>
        </is>
      </c>
      <c r="E16" s="26" t="inlineStr">
        <is>
          <t>Worse</t>
        </is>
      </c>
      <c r="F16" s="26" t="inlineStr">
        <is>
          <t>As assumed</t>
        </is>
      </c>
      <c r="G16" s="26" t="inlineStr">
        <is>
          <t>Better</t>
        </is>
      </c>
      <c r="H16" s="26" t="inlineStr">
        <is>
          <t>Much better</t>
        </is>
      </c>
    </row>
    <row r="17">
      <c r="B17" s="9" t="inlineStr">
        <is>
          <t>AI accuracy</t>
        </is>
      </c>
      <c r="C17" s="31" t="inlineStr">
        <is>
          <t>value</t>
        </is>
      </c>
      <c r="D17" s="165">
        <f>MAX(0,MIN(1,Scenarios!$F$20-0.1))</f>
        <v>0.82</v>
      </c>
      <c r="E17" s="165">
        <f>MAX(0,MIN(1,Scenarios!$F$20-0.05))</f>
        <v>0.87</v>
      </c>
      <c r="F17" s="166">
        <f>MAX(0,MIN(1,Scenarios!$F$20+0))</f>
        <v>0.92</v>
      </c>
      <c r="G17" s="165">
        <f>MAX(0,MIN(1,Scenarios!$F$20+0.02))</f>
        <v>0.94</v>
      </c>
      <c r="H17" s="165">
        <f>MAX(0,MIN(1,Scenarios!$F$20+0.05))</f>
        <v>0.97</v>
      </c>
    </row>
    <row r="18">
      <c r="B18" s="28" t="inlineStr"/>
      <c r="C18" s="31" t="inlineStr">
        <is>
          <t>3-year NPV</t>
        </is>
      </c>
      <c r="D18" s="103">
        <f>Engine!AB53</f>
        <v>16509.010896673</v>
      </c>
      <c r="E18" s="103">
        <f>Engine!AB54</f>
        <v>65150.7302232693</v>
      </c>
      <c r="F18" s="114">
        <f>Engine!AB55</f>
        <v>113792.449549866</v>
      </c>
      <c r="G18" s="103">
        <f>Engine!AB56</f>
        <v>133249.137280504</v>
      </c>
      <c r="H18" s="103">
        <f>Engine!AB57</f>
        <v>162434.168876462</v>
      </c>
    </row>
    <row r="19">
      <c r="B19" s="9" t="inlineStr">
        <is>
          <t>Human minutes per reviewed item</t>
        </is>
      </c>
      <c r="C19" s="31" t="inlineStr">
        <is>
          <t>value</t>
        </is>
      </c>
      <c r="D19" s="167">
        <f>Scenarios!$F$22*2</f>
        <v>16</v>
      </c>
      <c r="E19" s="167">
        <f>Scenarios!$F$22*1.5</f>
        <v>12</v>
      </c>
      <c r="F19" s="168">
        <f>Scenarios!$F$22*1</f>
        <v>8</v>
      </c>
      <c r="G19" s="167">
        <f>Scenarios!$F$22*0.75</f>
        <v>6</v>
      </c>
      <c r="H19" s="167">
        <f>Scenarios!$F$22*0.5</f>
        <v>4</v>
      </c>
    </row>
    <row r="20">
      <c r="B20" s="28" t="inlineStr"/>
      <c r="C20" s="31" t="inlineStr">
        <is>
          <t>3-year NPV</t>
        </is>
      </c>
      <c r="D20" s="103">
        <f>Engine!AB58</f>
        <v>34751.8610177106</v>
      </c>
      <c r="E20" s="103">
        <f>Engine!AB59</f>
        <v>74272.1552837881</v>
      </c>
      <c r="F20" s="114">
        <f>Engine!AB60</f>
        <v>113792.449549866</v>
      </c>
      <c r="G20" s="103">
        <f>Engine!AB61</f>
        <v>133552.596682904</v>
      </c>
      <c r="H20" s="103">
        <f>Engine!AB62</f>
        <v>153312.743815943</v>
      </c>
    </row>
    <row r="21">
      <c r="B21" s="9" t="inlineStr">
        <is>
          <t>Adoption achieved vs plan</t>
        </is>
      </c>
      <c r="C21" s="31" t="inlineStr">
        <is>
          <t>value</t>
        </is>
      </c>
      <c r="D21" s="169">
        <f>Scenarios!$F$24*0.5</f>
        <v>0.5</v>
      </c>
      <c r="E21" s="169">
        <f>Scenarios!$F$24*0.75</f>
        <v>0.75</v>
      </c>
      <c r="F21" s="170">
        <f>Scenarios!$F$24*1</f>
        <v>1</v>
      </c>
      <c r="G21" s="169">
        <f>Scenarios!$F$24*1.1</f>
        <v>1.1</v>
      </c>
      <c r="H21" s="169">
        <f>Scenarios!$F$24*1.25</f>
        <v>1.25</v>
      </c>
    </row>
    <row r="22">
      <c r="B22" s="28" t="inlineStr"/>
      <c r="C22" s="31" t="inlineStr">
        <is>
          <t>3-year NPV</t>
        </is>
      </c>
      <c r="D22" s="103">
        <f>Engine!AB63</f>
        <v>-87521.1065633714</v>
      </c>
      <c r="E22" s="103">
        <f>Engine!AB64</f>
        <v>13135.6714932471</v>
      </c>
      <c r="F22" s="114">
        <f>Engine!AB65</f>
        <v>113792.449549866</v>
      </c>
      <c r="G22" s="103">
        <f>Engine!AB66</f>
        <v>154055.160772513</v>
      </c>
      <c r="H22" s="103">
        <f>Engine!AB67</f>
        <v>169188.223506795</v>
      </c>
    </row>
    <row r="23">
      <c r="B23" s="9" t="inlineStr">
        <is>
          <t>Share of freed time that becomes real value</t>
        </is>
      </c>
      <c r="C23" s="31" t="inlineStr">
        <is>
          <t>value</t>
        </is>
      </c>
      <c r="D23" s="165">
        <f>MAX(0,MIN(1,Scenarios!$F$23-0.3))</f>
        <v>0.4</v>
      </c>
      <c r="E23" s="165">
        <f>MAX(0,MIN(1,Scenarios!$F$23-0.15))</f>
        <v>0.55</v>
      </c>
      <c r="F23" s="166">
        <f>MAX(0,MIN(1,Scenarios!$F$23+0))</f>
        <v>0.7</v>
      </c>
      <c r="G23" s="165">
        <f>MAX(0,MIN(1,Scenarios!$F$23+0.1))</f>
        <v>0.8</v>
      </c>
      <c r="H23" s="165">
        <f>MAX(0,MIN(1,Scenarios!$F$23+0.2))</f>
        <v>0.9</v>
      </c>
    </row>
    <row r="24">
      <c r="B24" s="28" t="inlineStr"/>
      <c r="C24" s="31" t="inlineStr">
        <is>
          <t>3-year NPV</t>
        </is>
      </c>
      <c r="D24" s="103">
        <f>Engine!AB68</f>
        <v>-17386.6986318931</v>
      </c>
      <c r="E24" s="103">
        <f>Engine!AB69</f>
        <v>48202.8754589863</v>
      </c>
      <c r="F24" s="114">
        <f>Engine!AB70</f>
        <v>113792.449549866</v>
      </c>
      <c r="G24" s="103">
        <f>Engine!AB71</f>
        <v>157518.832277119</v>
      </c>
      <c r="H24" s="103">
        <f>Engine!AB72</f>
        <v>201245.215004371</v>
      </c>
    </row>
    <row r="25">
      <c r="B25" s="9" t="inlineStr">
        <is>
          <t>Run cost per item</t>
        </is>
      </c>
      <c r="C25" s="31" t="inlineStr">
        <is>
          <t>value</t>
        </is>
      </c>
      <c r="D25" s="171">
        <f>Scenarios!$F$26*5</f>
        <v>1.08</v>
      </c>
      <c r="E25" s="171">
        <f>Scenarios!$F$26*2</f>
        <v>0.432</v>
      </c>
      <c r="F25" s="172">
        <f>Scenarios!$F$26*1</f>
        <v>0.216</v>
      </c>
      <c r="G25" s="171">
        <f>Scenarios!$F$26*0.75</f>
        <v>0.162</v>
      </c>
      <c r="H25" s="171">
        <f>Scenarios!$F$26*0.5</f>
        <v>0.108</v>
      </c>
    </row>
    <row r="26">
      <c r="B26" s="28" t="inlineStr"/>
      <c r="C26" s="31" t="inlineStr">
        <is>
          <t>3-year NPV</t>
        </is>
      </c>
      <c r="D26" s="103">
        <f>Engine!AB73</f>
        <v>93467.7267844544</v>
      </c>
      <c r="E26" s="103">
        <f>Engine!AB74</f>
        <v>108711.268858513</v>
      </c>
      <c r="F26" s="114">
        <f>Engine!AB75</f>
        <v>113792.449549866</v>
      </c>
      <c r="G26" s="103">
        <f>Engine!AB76</f>
        <v>115062.744722704</v>
      </c>
      <c r="H26" s="103">
        <f>Engine!AB77</f>
        <v>116333.039895542</v>
      </c>
    </row>
    <row r="28">
      <c r="B28" s="8" t="inlineStr">
        <is>
          <t>What moves the answer most: each assumption alone at its Low and High value, everything else at Base</t>
        </is>
      </c>
      <c r="C28" s="2" t="n"/>
      <c r="D28" s="2" t="n"/>
      <c r="E28" s="2" t="n"/>
      <c r="F28" s="2" t="n"/>
      <c r="G28" s="2" t="n"/>
      <c r="H28" s="2" t="n"/>
      <c r="I28" s="2" t="n"/>
    </row>
    <row r="29">
      <c r="B29" s="25" t="inlineStr">
        <is>
          <t>Assumption</t>
        </is>
      </c>
      <c r="C29" s="26" t="inlineStr">
        <is>
          <t>Low value</t>
        </is>
      </c>
      <c r="D29" s="26" t="inlineStr">
        <is>
          <t>High value</t>
        </is>
      </c>
      <c r="E29" s="26" t="inlineStr">
        <is>
          <t>NPV at Low</t>
        </is>
      </c>
      <c r="F29" s="26" t="inlineStr">
        <is>
          <t>NPV at High</t>
        </is>
      </c>
      <c r="G29" s="26" t="inlineStr">
        <is>
          <t>Swing</t>
        </is>
      </c>
      <c r="H29" s="26" t="inlineStr">
        <is>
          <t>Rank</t>
        </is>
      </c>
    </row>
    <row r="30">
      <c r="B30" s="28" t="inlineStr">
        <is>
          <t>AI accuracy on the items it handles</t>
        </is>
      </c>
      <c r="C30" s="156">
        <f>Scenarios!$C$20</f>
        <v>0.87</v>
      </c>
      <c r="D30" s="156">
        <f>Scenarios!$E$20</f>
        <v>0.94</v>
      </c>
      <c r="E30" s="103">
        <f>Engine!AB37</f>
        <v>65150.7302232693</v>
      </c>
      <c r="F30" s="103">
        <f>Engine!AB38</f>
        <v>133249.137280504</v>
      </c>
      <c r="G30" s="173">
        <f>ABS(F30-E30)</f>
        <v>68098.4070572349</v>
      </c>
      <c r="H30" s="95">
        <f>RANK(G30,$G$30:$G$37,0)</f>
        <v>4</v>
      </c>
    </row>
    <row r="31">
      <c r="B31" s="28" t="inlineStr">
        <is>
          <t>Share of items the AI handles</t>
        </is>
      </c>
      <c r="C31" s="156">
        <f>Scenarios!$C$21</f>
        <v>0.7</v>
      </c>
      <c r="D31" s="156">
        <f>Scenarios!$E$21</f>
        <v>0.85</v>
      </c>
      <c r="E31" s="103">
        <f>Engine!AB39</f>
        <v>62828.9129351373</v>
      </c>
      <c r="F31" s="103">
        <f>Engine!AB40</f>
        <v>139274.21785723</v>
      </c>
      <c r="G31" s="173">
        <f>ABS(F31-E31)</f>
        <v>76445.3049220924</v>
      </c>
      <c r="H31" s="95">
        <f>RANK(G31,$G$30:$G$37,0)+COUNTIF($G$30:G30,G31)</f>
        <v>3</v>
      </c>
    </row>
    <row r="32">
      <c r="B32" s="28" t="inlineStr">
        <is>
          <t>Human minutes per reviewed item</t>
        </is>
      </c>
      <c r="C32" s="159">
        <f>Scenarios!$C$22</f>
        <v>12</v>
      </c>
      <c r="D32" s="159">
        <f>Scenarios!$E$22</f>
        <v>6.8</v>
      </c>
      <c r="E32" s="103">
        <f>Engine!AB41</f>
        <v>74272.1552837881</v>
      </c>
      <c r="F32" s="103">
        <f>Engine!AB42</f>
        <v>125648.537829689</v>
      </c>
      <c r="G32" s="173">
        <f>ABS(F32-E32)</f>
        <v>51376.3825459007</v>
      </c>
      <c r="H32" s="95">
        <f>RANK(G32,$G$30:$G$37,0)+COUNTIF($G$30:G31,G32)</f>
        <v>5</v>
      </c>
    </row>
    <row r="33">
      <c r="B33" s="28" t="inlineStr">
        <is>
          <t>Share of freed time that becomes real value</t>
        </is>
      </c>
      <c r="C33" s="156">
        <f>Scenarios!$C$23</f>
        <v>0.5</v>
      </c>
      <c r="D33" s="156">
        <f>Scenarios!$E$23</f>
        <v>0.8</v>
      </c>
      <c r="E33" s="103">
        <f>Engine!AB43</f>
        <v>26339.6840953598</v>
      </c>
      <c r="F33" s="103">
        <f>Engine!AB44</f>
        <v>157518.832277119</v>
      </c>
      <c r="G33" s="173">
        <f>ABS(F33-E33)</f>
        <v>131179.148181759</v>
      </c>
      <c r="H33" s="95">
        <f>RANK(G33,$G$30:$G$37,0)+COUNTIF($G$30:G32,G33)</f>
        <v>1</v>
      </c>
    </row>
    <row r="34">
      <c r="B34" s="28" t="inlineStr">
        <is>
          <t>Adoption achieved vs plan</t>
        </is>
      </c>
      <c r="C34" s="161">
        <f>Scenarios!$C$24</f>
        <v>0.75</v>
      </c>
      <c r="D34" s="161">
        <f>Scenarios!$E$24</f>
        <v>1.05</v>
      </c>
      <c r="E34" s="103">
        <f>Engine!AB45</f>
        <v>13135.6714932471</v>
      </c>
      <c r="F34" s="103">
        <f>Engine!AB46</f>
        <v>133923.805161189</v>
      </c>
      <c r="G34" s="173">
        <f>ABS(F34-E34)</f>
        <v>120788.133667942</v>
      </c>
      <c r="H34" s="95">
        <f>RANK(G34,$G$30:$G$37,0)+COUNTIF($G$30:G33,G34)</f>
        <v>2</v>
      </c>
    </row>
    <row r="35">
      <c r="B35" s="28" t="inlineStr">
        <is>
          <t>Go-live delay (quarters)</t>
        </is>
      </c>
      <c r="C35" s="174">
        <f>Scenarios!$C$25</f>
        <v>1</v>
      </c>
      <c r="D35" s="174">
        <f>Scenarios!$E$25</f>
        <v>0</v>
      </c>
      <c r="E35" s="103">
        <f>Engine!AB47</f>
        <v>87268.7623375421</v>
      </c>
      <c r="F35" s="103">
        <f>Engine!AB48</f>
        <v>113792.449549866</v>
      </c>
      <c r="G35" s="173">
        <f>ABS(F35-E35)</f>
        <v>26523.6872123235</v>
      </c>
      <c r="H35" s="95">
        <f>RANK(G35,$G$30:$G$37,0)+COUNTIF($G$30:G34,G35)</f>
        <v>7</v>
      </c>
    </row>
    <row r="36">
      <c r="B36" s="28" t="inlineStr">
        <is>
          <t>Run cost per item</t>
        </is>
      </c>
      <c r="C36" s="163">
        <f>Scenarios!$C$26</f>
        <v>0.432</v>
      </c>
      <c r="D36" s="163">
        <f>Scenarios!$E$26</f>
        <v>0.1728</v>
      </c>
      <c r="E36" s="103">
        <f>Engine!AB49</f>
        <v>108711.268858513</v>
      </c>
      <c r="F36" s="103">
        <f>Engine!AB50</f>
        <v>114808.685688136</v>
      </c>
      <c r="G36" s="173">
        <f>ABS(F36-E36)</f>
        <v>6097.41682962337</v>
      </c>
      <c r="H36" s="95">
        <f>RANK(G36,$G$30:$G$37,0)+COUNTIF($G$30:G35,G36)</f>
        <v>8</v>
      </c>
    </row>
    <row r="37">
      <c r="B37" s="28" t="inlineStr">
        <is>
          <t>Total one-off cost</t>
        </is>
      </c>
      <c r="C37" s="103">
        <f>Scenarios!$C$27</f>
        <v>162500</v>
      </c>
      <c r="D37" s="103">
        <f>Scenarios!$E$27</f>
        <v>130000</v>
      </c>
      <c r="E37" s="103">
        <f>Engine!AB51</f>
        <v>82431.3035173847</v>
      </c>
      <c r="F37" s="103">
        <f>Engine!AB52</f>
        <v>113792.449549866</v>
      </c>
      <c r="G37" s="173">
        <f>ABS(F37-E37)</f>
        <v>31361.1460324809</v>
      </c>
      <c r="H37" s="95">
        <f>RANK(G37,$G$30:$G$37,0)+COUNTIF($G$30:G36,G37)</f>
        <v>6</v>
      </c>
    </row>
    <row r="39">
      <c r="B39" s="8" t="inlineStr">
        <is>
          <t>How a pilot tests each assumption</t>
        </is>
      </c>
      <c r="C39" s="2" t="n"/>
      <c r="D39" s="2" t="n"/>
      <c r="E39" s="2" t="n"/>
      <c r="F39" s="2" t="n"/>
      <c r="G39" s="2" t="n"/>
      <c r="H39" s="2" t="n"/>
      <c r="I39" s="2" t="n"/>
    </row>
    <row r="40">
      <c r="B40" s="25" t="inlineStr">
        <is>
          <t>Assumption</t>
        </is>
      </c>
      <c r="C40" s="26" t="inlineStr">
        <is>
          <t>How to test it</t>
        </is>
      </c>
      <c r="D40" s="154" t="n"/>
      <c r="E40" s="154" t="n"/>
      <c r="F40" s="154" t="n"/>
      <c r="G40" s="154" t="n"/>
      <c r="H40" s="154" t="n"/>
      <c r="I40" s="155" t="n"/>
    </row>
    <row r="41" ht="29" customHeight="1">
      <c r="B41" s="33" t="inlineStr">
        <is>
          <t>AI accuracy on the items it handles</t>
        </is>
      </c>
      <c r="C41" s="33" t="inlineStr">
        <is>
          <t>Score the system on a fixed evaluation set of real, labelled items before go-live, and re-run it after every model or prompt change.</t>
        </is>
      </c>
    </row>
    <row r="42" ht="16" customHeight="1">
      <c r="B42" s="33" t="inlineStr">
        <is>
          <t>Share of items the AI handles</t>
        </is>
      </c>
      <c r="C42" s="33" t="inlineStr">
        <is>
          <t>Run in shadow mode alongside the current process and count how many items the system can take without escalation.</t>
        </is>
      </c>
    </row>
    <row r="43" ht="16" customHeight="1">
      <c r="B43" s="33" t="inlineStr">
        <is>
          <t>Human minutes per reviewed item</t>
        </is>
      </c>
      <c r="C43" s="33" t="inlineStr">
        <is>
          <t>Time a sample of real reviews every week of the pilot. Measure it; don't ask people to estimate it.</t>
        </is>
      </c>
    </row>
    <row r="44" ht="16" customHeight="1">
      <c r="B44" s="33" t="inlineStr">
        <is>
          <t>Share of freed time that becomes real value</t>
        </is>
      </c>
      <c r="C44" s="33" t="inlineStr">
        <is>
          <t>Name where the freed hours go before launch: hires you won't make, overtime you'll cut, or work you'll take on.</t>
        </is>
      </c>
    </row>
    <row r="45" ht="16" customHeight="1">
      <c r="B45" s="33" t="inlineStr">
        <is>
          <t>Adoption achieved vs plan</t>
        </is>
      </c>
      <c r="C45" s="33" t="inlineStr">
        <is>
          <t>Track the share of volume going through the new workflow each week, team by team.</t>
        </is>
      </c>
    </row>
    <row r="46" ht="16" customHeight="1">
      <c r="B46" s="33" t="inlineStr">
        <is>
          <t>Go-live delay (quarters)</t>
        </is>
      </c>
      <c r="C46" s="33" t="inlineStr">
        <is>
          <t>Agree the go-live date with the owners of every system you integrate with, and track it as a milestone.</t>
        </is>
      </c>
    </row>
    <row r="47" ht="16" customHeight="1">
      <c r="B47" s="33" t="inlineStr">
        <is>
          <t>Run cost per item</t>
        </is>
      </c>
      <c r="C47" s="33" t="inlineStr">
        <is>
          <t>Meter the cost per item from the first day of the pilot, retries included, against the number in this case.</t>
        </is>
      </c>
    </row>
    <row r="48" ht="16" customHeight="1">
      <c r="B48" s="33" t="inlineStr">
        <is>
          <t>Total one-off cost</t>
        </is>
      </c>
      <c r="C48" s="33" t="inlineStr">
        <is>
          <t>Fix the scope and fee of the build, or hold an explicit contingency.</t>
        </is>
      </c>
    </row>
  </sheetData>
  <mergeCells count="17">
    <mergeCell ref="C45:I45"/>
    <mergeCell ref="C44:I44"/>
    <mergeCell ref="E9:H9"/>
    <mergeCell ref="C40:I40"/>
    <mergeCell ref="E8:H8"/>
    <mergeCell ref="C48:I48"/>
    <mergeCell ref="E12:H12"/>
    <mergeCell ref="E6:H6"/>
    <mergeCell ref="C43:I43"/>
    <mergeCell ref="E7:H7"/>
    <mergeCell ref="C46:I46"/>
    <mergeCell ref="C42:I42"/>
    <mergeCell ref="C47:I47"/>
    <mergeCell ref="E11:H11"/>
    <mergeCell ref="E10:H10"/>
    <mergeCell ref="C41:I41"/>
    <mergeCell ref="E13:H13"/>
  </mergeCells>
  <conditionalFormatting sqref="D18:H18">
    <cfRule type="cellIs" priority="1" operator="lessThan" dxfId="2">
      <formula>0</formula>
    </cfRule>
  </conditionalFormatting>
  <conditionalFormatting sqref="D20:H20">
    <cfRule type="cellIs" priority="2" operator="lessThan" dxfId="2">
      <formula>0</formula>
    </cfRule>
  </conditionalFormatting>
  <conditionalFormatting sqref="D22:H22">
    <cfRule type="cellIs" priority="3" operator="lessThan" dxfId="2">
      <formula>0</formula>
    </cfRule>
  </conditionalFormatting>
  <conditionalFormatting sqref="D24:H24">
    <cfRule type="cellIs" priority="4" operator="lessThan" dxfId="2">
      <formula>0</formula>
    </cfRule>
  </conditionalFormatting>
  <conditionalFormatting sqref="D26:H26">
    <cfRule type="cellIs" priority="5" operator="lessThan" dxfId="2">
      <formula>0</formula>
    </cfRule>
  </conditionalFormatting>
  <conditionalFormatting sqref="G30:G37">
    <cfRule type="dataBar" priority="6">
      <dataBar showValue="1">
        <cfvo type="num" val="0"/>
        <cfvo type="max"/>
        <color rgb="00A87A22"/>
      </dataBar>
    </cfRule>
  </conditionalFormatting>
  <conditionalFormatting sqref="E30:F37">
    <cfRule type="cellIs" priority="7" operator="lessThan" dxfId="2">
      <formula>0</formula>
    </cfRule>
  </conditionalFormatting>
  <pageMargins left="0.75" right="0.75" top="1" bottom="1" header="0.5" footer="0.5"/>
  <pageSetup orientation="landscape" fitToHeight="0" fitToWidth="1"/>
</worksheet>
</file>

<file path=xl/worksheets/sheet6.xml><?xml version="1.0" encoding="utf-8"?>
<worksheet xmlns="http://schemas.openxmlformats.org/spreadsheetml/2006/main">
  <sheetPr>
    <tabColor rgb="000A1B2E"/>
    <outlinePr summaryBelow="1" summaryRight="1"/>
    <pageSetUpPr fitToPage="1"/>
  </sheetPr>
  <dimension ref="B1:E70"/>
  <sheetViews>
    <sheetView showGridLines="0" workbookViewId="0">
      <selection activeCell="A1" sqref="A1"/>
    </sheetView>
  </sheetViews>
  <sheetFormatPr baseColWidth="8" defaultRowHeight="15"/>
  <cols>
    <col width="2" customWidth="1" min="1" max="1"/>
    <col width="50" customWidth="1" min="2" max="2"/>
    <col width="16" customWidth="1" min="3" max="3"/>
    <col width="16" customWidth="1" min="4" max="4"/>
    <col width="16" customWidth="1" min="5" max="5"/>
  </cols>
  <sheetData>
    <row r="1" ht="20" customHeight="1">
      <c r="B1" s="175" t="inlineStr">
        <is>
          <t>AI BUSINESS CASE</t>
        </is>
      </c>
      <c r="C1" s="2" t="n"/>
      <c r="D1" s="2" t="n"/>
      <c r="E1" s="176" t="inlineStr">
        <is>
          <t>Board summary</t>
        </is>
      </c>
    </row>
    <row r="2" ht="30" customHeight="1">
      <c r="B2" s="177" t="str">
        <f>in_UseCase</f>
        <v>Onboarding document verification</v>
      </c>
    </row>
    <row r="3" ht="15" customHeight="1">
      <c r="B3" s="29" t="str">
        <f>"Prepared by "&amp;IF(LEN(in_PreparedBy)=0,"[name]",in_PreparedBy)&amp;". Three years from project start, quarter by quarter, discounted at "&amp;TEXT(in_DiscountRate,"0%")&amp;" a year."</f>
        <v>Prepared by Head of Operations (illustrative). Three years from project start, quarter by quarter, discounted at 10% a year.</v>
      </c>
    </row>
    <row r="4" ht="16" customHeight="1">
      <c r="B4" s="178" t="str">
        <f>IF(in_RunMode="Illustrative example","ILLUSTRATIVE EXAMPLE: invented numbers that show how the calculator works. Not client data.","")</f>
        <v>ILLUSTRATIVE EXAMPLE: invented numbers that show how the calculator works. Not client data.</v>
      </c>
    </row>
    <row r="6" ht="18" customHeight="1">
      <c r="B6" s="8" t="inlineStr">
        <is>
          <t>1. The decision we are asking for</t>
        </is>
      </c>
      <c r="C6" s="2" t="n"/>
      <c r="D6" s="2" t="n"/>
      <c r="E6" s="2" t="n"/>
    </row>
    <row r="7" ht="30" customHeight="1">
      <c r="B7" s="5" t="str">
        <f>IF(LEN(in_Decision)=0,"[Write the decision you want on Inputs, under For the Board summary.]",in_Decision)</f>
        <v>Approve £35,000 for discovery and the evaluation suite, then a 12-week pilot on one onboarding team. Release the remaining £95,000 build budget only if the pilot meets the success metric below.</v>
      </c>
    </row>
    <row r="9" ht="18" customHeight="1">
      <c r="B9" s="8" t="inlineStr">
        <is>
          <t>2. The numbers: base case, inside the range we would not be surprised by</t>
        </is>
      </c>
      <c r="C9" s="2" t="n"/>
      <c r="D9" s="2" t="n"/>
      <c r="E9" s="2" t="n"/>
    </row>
    <row r="10">
      <c r="B10" s="25" t="inlineStr">
        <is>
          <t>Measure</t>
        </is>
      </c>
      <c r="C10" s="26" t="inlineStr">
        <is>
          <t>Low</t>
        </is>
      </c>
      <c r="D10" s="26" t="inlineStr">
        <is>
          <t>Base</t>
        </is>
      </c>
      <c r="E10" s="26" t="inlineStr">
        <is>
          <t>High</t>
        </is>
      </c>
    </row>
    <row r="11" ht="16" customHeight="1">
      <c r="B11" s="37" t="inlineStr">
        <is>
          <t>3-year net benefit (cash)</t>
        </is>
      </c>
      <c r="C11" s="113">
        <f>Model!D7</f>
        <v>-170542.333617188</v>
      </c>
      <c r="D11" s="114">
        <f>Model!E7</f>
        <v>163292.0748</v>
      </c>
      <c r="E11" s="113">
        <f>Model!F7</f>
        <v>324923.3967075</v>
      </c>
    </row>
    <row r="12" ht="16" customHeight="1">
      <c r="B12" s="37" t="inlineStr">
        <is>
          <t>3-year net present value (NPV)</t>
        </is>
      </c>
      <c r="C12" s="113">
        <f>Model!D8</f>
        <v>-166679.409523961</v>
      </c>
      <c r="D12" s="114">
        <f>Model!E8</f>
        <v>113792.449549866</v>
      </c>
      <c r="E12" s="113">
        <f>Model!F8</f>
        <v>247753.367730255</v>
      </c>
    </row>
    <row r="13" ht="16" customHeight="1">
      <c r="B13" s="37" t="inlineStr">
        <is>
          <t>3-year return on total cost (ROI)</t>
        </is>
      </c>
      <c r="C13" s="115">
        <f>Model!D9</f>
        <v>-0.493179352946865</v>
      </c>
      <c r="D13" s="116">
        <f>Model!E9</f>
        <v>0.496886203532374</v>
      </c>
      <c r="E13" s="115">
        <f>Model!F9</f>
        <v>0.991678875687883</v>
      </c>
    </row>
    <row r="14" ht="16" customHeight="1">
      <c r="B14" s="37" t="inlineStr">
        <is>
          <t>Payback (months from project start)</t>
        </is>
      </c>
      <c r="C14" s="117" t="str">
        <f>Model!D10</f>
        <v>Not within 3 years</v>
      </c>
      <c r="D14" s="118">
        <f>Model!E10</f>
        <v>23.1337127053485</v>
      </c>
      <c r="E14" s="117">
        <f>Model!F10</f>
        <v>18.2181576699222</v>
      </c>
    </row>
    <row r="15" ht="16" customHeight="1">
      <c r="B15" s="37" t="inlineStr">
        <is>
          <t>One-off investment</t>
        </is>
      </c>
      <c r="C15" s="113">
        <f>Model!D11</f>
        <v>162500</v>
      </c>
      <c r="D15" s="114">
        <f>Model!E11</f>
        <v>130000</v>
      </c>
      <c r="E15" s="113">
        <f>Model!F11</f>
        <v>130000</v>
      </c>
    </row>
    <row r="16" ht="26" customHeight="1">
      <c r="B16" s="37" t="inlineStr">
        <is>
          <t>Running cost in year 3 (AI run, platform, maintenance, evaluation, licences)</t>
        </is>
      </c>
      <c r="C16" s="113">
        <f>Model!D15</f>
        <v>74234.032</v>
      </c>
      <c r="D16" s="114">
        <f>Model!E15</f>
        <v>72822.688</v>
      </c>
      <c r="E16" s="113">
        <f>Model!F15</f>
        <v>72371.05792</v>
      </c>
    </row>
    <row r="17" ht="16" customHeight="1">
      <c r="B17" s="37" t="inlineStr">
        <is>
          <t>Hours freed in year 3</t>
        </is>
      </c>
      <c r="C17" s="119">
        <f>Model!D16</f>
        <v>3012.1331625</v>
      </c>
      <c r="D17" s="120">
        <f>Model!E16</f>
        <v>5397.9552</v>
      </c>
      <c r="E17" s="119">
        <f>Model!F16</f>
        <v>6304.9261275</v>
      </c>
    </row>
    <row r="18" ht="16" customHeight="1">
      <c r="B18" s="37" t="inlineStr">
        <is>
          <t>Full-time equivalents freed in year 3</t>
        </is>
      </c>
      <c r="C18" s="121">
        <f>Model!D17</f>
        <v>1.8825832265625</v>
      </c>
      <c r="D18" s="122">
        <f>Model!E17</f>
        <v>3.373722</v>
      </c>
      <c r="E18" s="121">
        <f>Model!F17</f>
        <v>3.9405788296875</v>
      </c>
    </row>
    <row r="19">
      <c r="B19" s="37" t="str">
        <f>"Operating cost per "&amp;IF(LEN(in_ItemName)=0,"item",in_ItemName)&amp;" in year 3, without AI"</f>
        <v>Operating cost per application in year 3, without AI</v>
      </c>
      <c r="C19" s="123">
        <f>Model!D18</f>
        <v>39</v>
      </c>
      <c r="D19" s="124">
        <f>Model!E18</f>
        <v>39</v>
      </c>
      <c r="E19" s="123">
        <f>Model!F18</f>
        <v>39</v>
      </c>
    </row>
    <row r="20">
      <c r="B20" s="37" t="str">
        <f>"Operating cost per "&amp;IF(LEN(in_ItemName)=0,"item",in_ItemName)&amp;" in year 3, with AI"</f>
        <v>Operating cost per application in year 3, with AI</v>
      </c>
      <c r="C20" s="123">
        <f>Model!D19</f>
        <v>33.2890382016185</v>
      </c>
      <c r="D20" s="124">
        <f>Model!E19</f>
        <v>23.3981366391185</v>
      </c>
      <c r="E20" s="123">
        <f>Model!F19</f>
        <v>19.3836973266185</v>
      </c>
    </row>
    <row r="21" ht="30" customHeight="1">
      <c r="B21" s="23" t="str">
        <f>"The base case NPV is "&amp;IF((Model!E8)&lt;0,"-"&amp;in_Currency&amp;TEXT(-(Model!E8),"#,##0"),in_Currency&amp;TEXT(Model!E8,"#,##0"))&amp;", inside a range of "&amp;IF((Model!D8)&lt;0,"-"&amp;in_Currency&amp;TEXT(-(Model!D8),"#,##0"),in_Currency&amp;TEXT(Model!D8,"#,##0"))&amp;" to "&amp;IF((Model!F8)&lt;0,"-"&amp;in_Currency&amp;TEXT(-(Model!F8),"#,##0"),in_Currency&amp;TEXT(Model!F8,"#,##0"))&amp;". Read the range, not the point: if the Low column would be unacceptable, design the pilot to find out quickly which end of it you are in."</f>
        <v>The base case NPV is £113,792, inside a range of -£166,679 to £247,753. Read the range, not the point: if the Low column would be unacceptable, design the pilot to find out quickly which end of it you are in.</v>
      </c>
    </row>
    <row r="37" ht="18" customHeight="1">
      <c r="B37" s="8" t="inlineStr">
        <is>
          <t>3. What has to be true for the base case to break even (3-year NPV of zero)</t>
        </is>
      </c>
      <c r="C37" s="2" t="n"/>
      <c r="D37" s="2" t="n"/>
      <c r="E37" s="2" t="n"/>
    </row>
    <row r="38" ht="15" customHeight="1">
      <c r="B38" s="5" t="str">
        <f>"•  "&amp;Engine!O92</f>
        <v>•  AI accuracy stays above 80.3% (assumed 92.0%).</v>
      </c>
    </row>
    <row r="39" ht="15" customHeight="1">
      <c r="B39" s="5" t="str">
        <f>"•  "&amp;Engine!O93</f>
        <v>•  The AI handles at least 57.7% of items (assumed 80.0%).</v>
      </c>
    </row>
    <row r="40" ht="15" customHeight="1">
      <c r="B40" s="5" t="str">
        <f>"•  "&amp;Engine!O94</f>
        <v>•  Review takes less than 19.5 minutes per application (assumed 8.0).</v>
      </c>
    </row>
    <row r="41" ht="15" customHeight="1">
      <c r="B41" s="5" t="str">
        <f>"•  "&amp;Engine!O95</f>
        <v>•  At least 44.0% of the freed time becomes real value (assumed 70.0%).</v>
      </c>
    </row>
    <row r="42" ht="15" customHeight="1">
      <c r="B42" s="5" t="str">
        <f>"•  "&amp;Engine!O96</f>
        <v>•  Adoption reaches at least 72% of plan (assumed 100%).</v>
      </c>
    </row>
    <row r="43" ht="15" customHeight="1">
      <c r="B43" s="5" t="str">
        <f>"•  "&amp;Engine!O97</f>
        <v>•  Run cost stays below £5.05 per application (assumed £0.22).</v>
      </c>
    </row>
    <row r="44" ht="15" customHeight="1">
      <c r="B44" s="5" t="str">
        <f>"•  "&amp;Engine!O98</f>
        <v>•  One-off costs stay below £247,925 (assumed £130,000).</v>
      </c>
    </row>
    <row r="46" ht="18" customHeight="1">
      <c r="B46" s="8" t="inlineStr">
        <is>
          <t>4. The three assumptions that could most change the answer, and how the pilot will test them</t>
        </is>
      </c>
      <c r="C46" s="2" t="n"/>
      <c r="D46" s="2" t="n"/>
      <c r="E46" s="2" t="n"/>
    </row>
    <row r="47">
      <c r="B47" s="25" t="inlineStr">
        <is>
          <t>Assumption</t>
        </is>
      </c>
      <c r="C47" s="26" t="inlineStr">
        <is>
          <t>NPV if Low</t>
        </is>
      </c>
      <c r="D47" s="26" t="inlineStr">
        <is>
          <t>NPV if High</t>
        </is>
      </c>
      <c r="E47" s="26" t="inlineStr">
        <is>
          <t>Swing</t>
        </is>
      </c>
    </row>
    <row r="48">
      <c r="B48" s="179" t="str">
        <f>"1. "&amp;INDEX(Sensitivity!$B$30:$B$37,MATCH(1,Sensitivity!$H$30:$H$37,0))</f>
        <v>1. Share of freed time that becomes real value</v>
      </c>
      <c r="C48" s="113">
        <f>INDEX(Sensitivity!$E$30:$E$37,MATCH(1,Sensitivity!$H$30:$H$37,0))</f>
        <v>26339.6840953598</v>
      </c>
      <c r="D48" s="113">
        <f>INDEX(Sensitivity!$F$30:$F$37,MATCH(1,Sensitivity!$H$30:$H$37,0))</f>
        <v>157518.832277119</v>
      </c>
      <c r="E48" s="113">
        <f>INDEX(Sensitivity!$G$30:$G$37,MATCH(1,Sensitivity!$H$30:$H$37,0))</f>
        <v>131179.148181759</v>
      </c>
    </row>
    <row r="49" ht="18" customHeight="1">
      <c r="B49" s="23" t="str">
        <f>"Test: "&amp;INDEX(Sensitivity!$C$41:$C$48,MATCH(1,Sensitivity!$H$30:$H$37,0))</f>
        <v>Test: Name where the freed hours go before launch: hires you won't make, overtime you'll cut, or work you'll take on.</v>
      </c>
    </row>
    <row r="50">
      <c r="B50" s="179" t="str">
        <f>"2. "&amp;INDEX(Sensitivity!$B$30:$B$37,MATCH(2,Sensitivity!$H$30:$H$37,0))</f>
        <v>2. Adoption achieved vs plan</v>
      </c>
      <c r="C50" s="113">
        <f>INDEX(Sensitivity!$E$30:$E$37,MATCH(2,Sensitivity!$H$30:$H$37,0))</f>
        <v>13135.6714932471</v>
      </c>
      <c r="D50" s="113">
        <f>INDEX(Sensitivity!$F$30:$F$37,MATCH(2,Sensitivity!$H$30:$H$37,0))</f>
        <v>133923.805161189</v>
      </c>
      <c r="E50" s="113">
        <f>INDEX(Sensitivity!$G$30:$G$37,MATCH(2,Sensitivity!$H$30:$H$37,0))</f>
        <v>120788.133667942</v>
      </c>
    </row>
    <row r="51" ht="18" customHeight="1">
      <c r="B51" s="23" t="str">
        <f>"Test: "&amp;INDEX(Sensitivity!$C$41:$C$48,MATCH(2,Sensitivity!$H$30:$H$37,0))</f>
        <v>Test: Track the share of volume going through the new workflow each week, team by team.</v>
      </c>
    </row>
    <row r="52">
      <c r="B52" s="179" t="str">
        <f>"3. "&amp;INDEX(Sensitivity!$B$30:$B$37,MATCH(3,Sensitivity!$H$30:$H$37,0))</f>
        <v>3. Share of items the AI handles</v>
      </c>
      <c r="C52" s="113">
        <f>INDEX(Sensitivity!$E$30:$E$37,MATCH(3,Sensitivity!$H$30:$H$37,0))</f>
        <v>62828.9129351373</v>
      </c>
      <c r="D52" s="113">
        <f>INDEX(Sensitivity!$F$30:$F$37,MATCH(3,Sensitivity!$H$30:$H$37,0))</f>
        <v>139274.21785723</v>
      </c>
      <c r="E52" s="113">
        <f>INDEX(Sensitivity!$G$30:$G$37,MATCH(3,Sensitivity!$H$30:$H$37,0))</f>
        <v>76445.3049220924</v>
      </c>
    </row>
    <row r="53" ht="18" customHeight="1">
      <c r="B53" s="23" t="str">
        <f>"Test: "&amp;INDEX(Sensitivity!$C$41:$C$48,MATCH(3,Sensitivity!$H$30:$H$37,0))</f>
        <v>Test: Run in shadow mode alongside the current process and count how many items the system can take without escalation.</v>
      </c>
    </row>
    <row r="55" ht="18" customHeight="1">
      <c r="B55" s="8" t="inlineStr">
        <is>
          <t>5. The pilot, pre-registered</t>
        </is>
      </c>
      <c r="C55" s="2" t="n"/>
      <c r="D55" s="2" t="n"/>
      <c r="E55" s="2" t="n"/>
    </row>
    <row r="56">
      <c r="B56" s="9" t="inlineStr">
        <is>
          <t>Success metric</t>
        </is>
      </c>
    </row>
    <row r="57" ht="44" customHeight="1">
      <c r="B57" s="5" t="str">
        <f>IF(LEN(in_Success)=0,"[Set it on Inputs before the pilot starts.]",in_Success)</f>
        <v>On the fixed 200-case evaluation set and four weeks of live pilot: accuracy of at least 90% on the files the AI handles, at least 75% of files handled without escalation, and median review time of 10 minutes or less. Before full rollout, the two open analyst vacancies are closed, not filled.</v>
      </c>
    </row>
    <row r="58">
      <c r="B58" s="9" t="inlineStr">
        <is>
          <t>Kill criterion</t>
        </is>
      </c>
    </row>
    <row r="59" ht="30" customHeight="1">
      <c r="B59" s="5" t="str">
        <f>IF(LEN(in_Kill)=0,"[Set it on Inputs before the pilot starts.]",in_Kill)</f>
        <v>Stop if, after two improvement cycles, accuracy is below 85%, fewer than 65% of files are handled without escalation, or median review time is above 15 minutes.</v>
      </c>
    </row>
    <row r="60">
      <c r="B60" s="9" t="inlineStr">
        <is>
          <t>Review date</t>
        </is>
      </c>
      <c r="C60" s="28" t="str">
        <f>IF(LEN(in_ReviewDate)=0,"[Date]",in_ReviewDate)</f>
        <v>End of week 12 of the pilot</v>
      </c>
    </row>
    <row r="61">
      <c r="B61" s="9" t="inlineStr">
        <is>
          <t>Accountable owner</t>
        </is>
      </c>
      <c r="C61" s="28" t="str">
        <f>IF(LEN(in_Owner)=0,"[One named person]",in_Owner)</f>
        <v>Head of Operations</v>
      </c>
    </row>
    <row r="62">
      <c r="B62" s="9" t="inlineStr">
        <is>
          <t>Where this model says the case breaks</t>
        </is>
      </c>
    </row>
    <row r="63" ht="30" customHeight="1">
      <c r="B63" s="5" t="str">
        <f>IF(AND(ISNUMBER(Engine!L92),ISNUMBER(Engine!L94)),"On these numbers the 3-year NPV turns negative if accuracy falls below "&amp;TEXT(Engine!L92,"0.0%")&amp;" or review time rises above "&amp;TEXT(Engine!L94,"0.0")&amp;" minutes per "&amp;ItemWord&amp;". Put the kill criterion short of these lines, so you stop before the case is lost.","See the Sensitivity tab: at least one break-even value is outside its possible range.")</f>
        <v>On these numbers the 3-year NPV turns negative if accuracy falls below 80.3% or review time rises above 19.5 minutes per application. Put the kill criterion short of these lines, so you stop before the case is lost.</v>
      </c>
    </row>
    <row r="65" ht="18" customHeight="1">
      <c r="B65" s="8" t="inlineStr">
        <is>
          <t>6. Risks and how we will manage them</t>
        </is>
      </c>
      <c r="C65" s="2" t="n"/>
      <c r="D65" s="2" t="n"/>
      <c r="E65" s="2" t="n"/>
    </row>
    <row r="66" ht="28" customHeight="1">
      <c r="B66" s="5" t="str">
        <f>IF(LEN(in_Risk1)=0,"[Add a risk and its control on Inputs.]","1. "&amp;in_Risk1)</f>
        <v>1. Accuracy drops when the vendor updates the model. We pin the model version and re-run the evaluation suite before every change.</v>
      </c>
    </row>
    <row r="67" ht="28" customHeight="1">
      <c r="B67" s="5" t="str">
        <f>IF(LEN(in_Risk2)=0,"[Add a risk and its control on Inputs.]","2. "&amp;in_Risk2)</f>
        <v>2. Reviewers start approving the AI's work without checking it. We seed known errors into the queue each month and track the catch rate.</v>
      </c>
    </row>
    <row r="68" ht="28" customHeight="1">
      <c r="B68" s="5" t="str">
        <f>IF(LEN(in_Risk3)=0,"[Add a risk and its control on Inputs.]","3. "&amp;in_Risk3)</f>
        <v>3. Run cost grows faster than volume as documents get longer or retries creep in. We meter cost per application weekly against this business case.</v>
      </c>
    </row>
    <row r="70" ht="15" customHeight="1">
      <c r="B70" s="23" t="inlineStr">
        <is>
          <t>An honest range beats a heroic point estimate. Built with the Kiseki Labs AI Business Case Calculator. kisekilabs.com</t>
        </is>
      </c>
    </row>
  </sheetData>
  <mergeCells count="24">
    <mergeCell ref="B40:E40"/>
    <mergeCell ref="B49:E49"/>
    <mergeCell ref="B68:E68"/>
    <mergeCell ref="B51:E51"/>
    <mergeCell ref="C60:E60"/>
    <mergeCell ref="B63:E63"/>
    <mergeCell ref="B41:E41"/>
    <mergeCell ref="B4:E4"/>
    <mergeCell ref="C61:E61"/>
    <mergeCell ref="B7:E7"/>
    <mergeCell ref="B3:E3"/>
    <mergeCell ref="B59:E59"/>
    <mergeCell ref="B66:E66"/>
    <mergeCell ref="B43:E43"/>
    <mergeCell ref="B70:E70"/>
    <mergeCell ref="B21:E21"/>
    <mergeCell ref="B39:E39"/>
    <mergeCell ref="B2:E2"/>
    <mergeCell ref="B42:E42"/>
    <mergeCell ref="B67:E67"/>
    <mergeCell ref="B57:E57"/>
    <mergeCell ref="B53:E53"/>
    <mergeCell ref="B38:E38"/>
    <mergeCell ref="B44:E44"/>
  </mergeCells>
  <printOptions horizontalCentered="1"/>
  <pageMargins left="0.4" right="0.4" top="0.4" bottom="0.4" header="0.5" footer="0.5"/>
  <pageSetup orientation="portrait" paperSize="9" fitToHeight="1" fitToWidth="1"/>
  <drawing xmlns:r="http://schemas.openxmlformats.org/officeDocument/2006/relationships" r:id="rId1"/>
</worksheet>
</file>

<file path=xl/worksheets/sheet7.xml><?xml version="1.0" encoding="utf-8"?>
<worksheet xmlns="http://schemas.openxmlformats.org/spreadsheetml/2006/main">
  <sheetPr>
    <tabColor rgb="00E8D3A2"/>
    <outlinePr summaryBelow="1" summaryRight="1"/>
    <pageSetUpPr fitToPage="1"/>
  </sheetPr>
  <dimension ref="B1:F83"/>
  <sheetViews>
    <sheetView showGridLines="0" workbookViewId="0">
      <pane xSplit="2" ySplit="18" topLeftCell="C19" activePane="bottomRight" state="frozen"/>
      <selection pane="topRight"/>
      <selection pane="bottomLeft"/>
      <selection pane="bottomRight" activeCell="A1" sqref="A1"/>
    </sheetView>
  </sheetViews>
  <sheetFormatPr baseColWidth="8" defaultRowHeight="15"/>
  <cols>
    <col width="2" customWidth="1" min="1" max="1"/>
    <col width="56" customWidth="1" min="2" max="2"/>
    <col width="40" customWidth="1" min="3" max="3"/>
    <col width="13" customWidth="1" min="4" max="4"/>
    <col width="20" customWidth="1" min="5" max="5"/>
    <col width="56" customWidth="1" min="6" max="6"/>
  </cols>
  <sheetData>
    <row r="1" ht="30" customHeight="1">
      <c r="B1" s="24" t="inlineStr">
        <is>
          <t>Illustrative example: onboarding document verification</t>
        </is>
      </c>
      <c r="C1" s="2" t="n"/>
      <c r="D1" s="2" t="n"/>
      <c r="E1" s="2" t="n"/>
      <c r="F1" s="2" t="n"/>
    </row>
    <row r="2" ht="20" customHeight="1">
      <c r="B2" s="180" t="inlineStr">
        <is>
          <t>ILLUSTRATIVE ONLY. Invented but plausible numbers that show how the calculator works. Not client data, and not a benchmark for your business.</t>
        </is>
      </c>
      <c r="C2" s="181" t="n"/>
      <c r="D2" s="181" t="n"/>
      <c r="E2" s="181" t="n"/>
      <c r="F2" s="181" t="n"/>
    </row>
    <row r="3" ht="30" customHeight="1">
      <c r="B3" s="5" t="inlineStr">
        <is>
          <t>The scenario: a mid-market lender's onboarding team verifies about 12,000 applications a year. For each one, an analyst reads the documents (identity, bank statements, proof of address) and checks them against what the applicant declared. The AI extracts the details, reconciles them and names each discrepancy. A person still reviews every file and makes every decision.</t>
        </is>
      </c>
    </row>
    <row r="4" ht="30" customHeight="1">
      <c r="B4" s="5" t="inlineStr">
        <is>
          <t>The shape is borrowed from a KYC engagement we delivered, where analyst time per applicant fell from 30 to 60 minutes to about five and the system never approved anyone. The numbers below are made up for illustration and deliberately more cautious than that case.</t>
        </is>
      </c>
    </row>
    <row r="5" ht="17" customHeight="1">
      <c r="B5" s="23" t="inlineStr">
        <is>
          <t>The example is switched on when you first open the workbook (Inputs, cell C6). Change the blue cells here to explore it; your own numbers go on the Inputs tab.</t>
        </is>
      </c>
    </row>
    <row r="7">
      <c r="B7" s="8" t="inlineStr">
        <is>
          <t>What the example produces (only shown while Inputs C6 is set to Illustrative example)</t>
        </is>
      </c>
      <c r="C7" s="2" t="n"/>
      <c r="D7" s="2" t="n"/>
      <c r="E7" s="2" t="n"/>
      <c r="F7" s="2" t="n"/>
    </row>
    <row r="8">
      <c r="B8" s="25" t="inlineStr">
        <is>
          <t>Measure</t>
        </is>
      </c>
      <c r="C8" s="26" t="inlineStr">
        <is>
          <t>Low</t>
        </is>
      </c>
      <c r="D8" s="26" t="inlineStr">
        <is>
          <t>Base</t>
        </is>
      </c>
      <c r="E8" s="26" t="inlineStr">
        <is>
          <t>High</t>
        </is>
      </c>
    </row>
    <row r="9">
      <c r="B9" s="28" t="inlineStr">
        <is>
          <t>3-year net benefit (cash)</t>
        </is>
      </c>
      <c r="C9" s="103">
        <f>IF(in_RunMode="Illustrative example",Model!D7,"-")</f>
        <v>-170542.333617188</v>
      </c>
      <c r="D9" s="104">
        <f>IF(in_RunMode="Illustrative example",Model!E7,"-")</f>
        <v>163292.0748</v>
      </c>
      <c r="E9" s="103">
        <f>IF(in_RunMode="Illustrative example",Model!F7,"-")</f>
        <v>324923.3967075</v>
      </c>
    </row>
    <row r="10">
      <c r="B10" s="28" t="inlineStr">
        <is>
          <t>3-year net present value (NPV)</t>
        </is>
      </c>
      <c r="C10" s="103">
        <f>IF(in_RunMode="Illustrative example",Model!D8,"-")</f>
        <v>-166679.409523961</v>
      </c>
      <c r="D10" s="104">
        <f>IF(in_RunMode="Illustrative example",Model!E8,"-")</f>
        <v>113792.449549866</v>
      </c>
      <c r="E10" s="103">
        <f>IF(in_RunMode="Illustrative example",Model!F8,"-")</f>
        <v>247753.367730255</v>
      </c>
    </row>
    <row r="11">
      <c r="B11" s="28" t="inlineStr">
        <is>
          <t>3-year return on total cost (ROI)</t>
        </is>
      </c>
      <c r="C11" s="105">
        <f>IF(in_RunMode="Illustrative example",Model!D9,"-")</f>
        <v>-0.493179352946865</v>
      </c>
      <c r="D11" s="106">
        <f>IF(in_RunMode="Illustrative example",Model!E9,"-")</f>
        <v>0.496886203532374</v>
      </c>
      <c r="E11" s="105">
        <f>IF(in_RunMode="Illustrative example",Model!F9,"-")</f>
        <v>0.991678875687883</v>
      </c>
    </row>
    <row r="12">
      <c r="B12" s="28" t="inlineStr">
        <is>
          <t>Payback (months from project start)</t>
        </is>
      </c>
      <c r="C12" s="107" t="str">
        <f>IF(in_RunMode="Illustrative example",Model!D10,"-")</f>
        <v>Not within 3 years</v>
      </c>
      <c r="D12" s="108">
        <f>IF(in_RunMode="Illustrative example",Model!E10,"-")</f>
        <v>23.1337127053485</v>
      </c>
      <c r="E12" s="107">
        <f>IF(in_RunMode="Illustrative example",Model!F10,"-")</f>
        <v>18.2181576699222</v>
      </c>
    </row>
    <row r="13">
      <c r="B13" s="28" t="inlineStr">
        <is>
          <t>One-off investment</t>
        </is>
      </c>
      <c r="C13" s="103">
        <f>IF(in_RunMode="Illustrative example",Model!D11,"-")</f>
        <v>162500</v>
      </c>
      <c r="D13" s="104">
        <f>IF(in_RunMode="Illustrative example",Model!E11,"-")</f>
        <v>130000</v>
      </c>
      <c r="E13" s="103">
        <f>IF(in_RunMode="Illustrative example",Model!F11,"-")</f>
        <v>130000</v>
      </c>
    </row>
    <row r="14">
      <c r="B14" s="28" t="inlineStr">
        <is>
          <t>Full-time equivalents freed in year 3</t>
        </is>
      </c>
      <c r="C14" s="109">
        <f>IF(in_RunMode="Illustrative example",Model!D17,"-")</f>
        <v>1.8825832265625</v>
      </c>
      <c r="D14" s="110">
        <f>IF(in_RunMode="Illustrative example",Model!E17,"-")</f>
        <v>3.373722</v>
      </c>
      <c r="E14" s="109">
        <f>IF(in_RunMode="Illustrative example",Model!F17,"-")</f>
        <v>3.9405788296875</v>
      </c>
    </row>
    <row r="17">
      <c r="B17" s="8" t="inlineStr">
        <is>
          <t>The example's inputs</t>
        </is>
      </c>
      <c r="C17" s="2" t="n"/>
      <c r="D17" s="2" t="n"/>
      <c r="E17" s="2" t="n"/>
      <c r="F17" s="2" t="n"/>
    </row>
    <row r="18">
      <c r="B18" s="25" t="inlineStr">
        <is>
          <t>Input</t>
        </is>
      </c>
      <c r="C18" s="26" t="inlineStr">
        <is>
          <t>Example value</t>
        </is>
      </c>
      <c r="D18" s="26" t="inlineStr">
        <is>
          <t>Unit</t>
        </is>
      </c>
      <c r="E18" s="26" t="inlineStr">
        <is>
          <t>Why this number</t>
        </is>
      </c>
      <c r="F18" s="155" t="n"/>
    </row>
    <row r="19">
      <c r="B19" s="182" t="inlineStr">
        <is>
          <t>The use case</t>
        </is>
      </c>
      <c r="C19" s="7" t="n"/>
      <c r="D19" s="7" t="n"/>
      <c r="E19" s="7" t="n"/>
      <c r="F19" s="7" t="n"/>
    </row>
    <row r="20" ht="27" customHeight="1">
      <c r="B20" s="33" t="inlineStr">
        <is>
          <t>Use case name</t>
        </is>
      </c>
      <c r="C20" s="72" t="inlineStr">
        <is>
          <t>Onboarding document verification</t>
        </is>
      </c>
      <c r="D20" s="35" t="inlineStr">
        <is>
          <t>text</t>
        </is>
      </c>
      <c r="E20" s="38" t="inlineStr">
        <is>
          <t>A queue where a person checks applicant documents against what the applicant declared.</t>
        </is>
      </c>
    </row>
    <row r="21" ht="16.5" customHeight="1">
      <c r="B21" s="33" t="inlineStr">
        <is>
          <t>What one item is (singular noun)</t>
        </is>
      </c>
      <c r="C21" s="72" t="inlineStr">
        <is>
          <t>application</t>
        </is>
      </c>
      <c r="D21" s="35" t="inlineStr">
        <is>
          <t>text</t>
        </is>
      </c>
      <c r="E21" s="38" t="inlineStr">
        <is>
          <t>One applicant file: a form plus its supporting documents.</t>
        </is>
      </c>
    </row>
    <row r="22" ht="16.5" customHeight="1">
      <c r="B22" s="33" t="inlineStr">
        <is>
          <t>Prepared by</t>
        </is>
      </c>
      <c r="C22" s="72" t="inlineStr">
        <is>
          <t>Head of Operations (illustrative)</t>
        </is>
      </c>
      <c r="D22" s="35" t="inlineStr">
        <is>
          <t>text</t>
        </is>
      </c>
      <c r="E22" s="38" t="inlineStr">
        <is>
          <t>A role, not a person.</t>
        </is>
      </c>
    </row>
    <row r="23" ht="16" customHeight="1">
      <c r="B23" s="33" t="inlineStr">
        <is>
          <t>Items per year today</t>
        </is>
      </c>
      <c r="C23" s="39" t="n">
        <v>12000</v>
      </c>
      <c r="D23" s="35" t="inlineStr">
        <is>
          <t>items / year</t>
        </is>
      </c>
      <c r="E23" s="38" t="inlineStr">
        <is>
          <t>About 1,000 applications a month: a mid-sized onboarding team.</t>
        </is>
      </c>
    </row>
    <row r="24" ht="16" customHeight="1">
      <c r="B24" s="33" t="inlineStr">
        <is>
          <t>Expected volume growth per year</t>
        </is>
      </c>
      <c r="C24" s="42" t="n">
        <v>0.1</v>
      </c>
      <c r="D24" s="35" t="inlineStr">
        <is>
          <t>% / year</t>
        </is>
      </c>
      <c r="E24" s="38" t="inlineStr">
        <is>
          <t>Planned business growth.</t>
        </is>
      </c>
    </row>
    <row r="25">
      <c r="B25" s="182" t="inlineStr">
        <is>
          <t>Today: how the work is done now</t>
        </is>
      </c>
      <c r="C25" s="7" t="n"/>
      <c r="D25" s="7" t="n"/>
      <c r="E25" s="7" t="n"/>
      <c r="F25" s="7" t="n"/>
    </row>
    <row r="26" ht="16" customHeight="1">
      <c r="B26" s="33" t="inlineStr">
        <is>
          <t>Human minutes per item today</t>
        </is>
      </c>
      <c r="C26" s="45" t="n">
        <v>40</v>
      </c>
      <c r="D26" s="35" t="inlineStr">
        <is>
          <t>minutes</t>
        </is>
      </c>
      <c r="E26" s="38" t="inlineStr">
        <is>
          <t>Inside the 30 to 60 minutes we measured on a real KYC queue.</t>
        </is>
      </c>
    </row>
    <row r="27" ht="16" customHeight="1">
      <c r="B27" s="33" t="inlineStr">
        <is>
          <t>Fully loaded cost per hour of that time</t>
        </is>
      </c>
      <c r="C27" s="48" t="n">
        <v>45</v>
      </c>
      <c r="D27" s="35" t="inlineStr">
        <is>
          <t>£ / hour</t>
        </is>
      </c>
      <c r="E27" s="38" t="inlineStr">
        <is>
          <t>Illustrative fully loaded rate for an operations analyst.</t>
        </is>
      </c>
    </row>
    <row r="28" ht="16" customHeight="1">
      <c r="B28" s="33" t="inlineStr">
        <is>
          <t>Share of items today with an error that costs money</t>
        </is>
      </c>
      <c r="C28" s="42" t="n">
        <v>0.03</v>
      </c>
      <c r="D28" s="35" t="inlineStr">
        <is>
          <t>% of items</t>
        </is>
      </c>
      <c r="E28" s="38" t="inlineStr">
        <is>
          <t>Files where a missed discrepancy or rework costs money later.</t>
        </is>
      </c>
    </row>
    <row r="29" ht="27" customHeight="1">
      <c r="B29" s="33" t="inlineStr">
        <is>
          <t>Average cost of one of those errors</t>
        </is>
      </c>
      <c r="C29" s="51" t="n">
        <v>300</v>
      </c>
      <c r="D29" s="35" t="inlineStr">
        <is>
          <t>£ / error</t>
        </is>
      </c>
      <c r="E29" s="38" t="inlineStr">
        <is>
          <t>Rework, remediation and the occasional complaint, averaged. Regulated errors can cost far more.</t>
        </is>
      </c>
    </row>
    <row r="30" ht="16" customHeight="1">
      <c r="B30" s="33" t="inlineStr">
        <is>
          <t>Productive hours per full-time person per year</t>
        </is>
      </c>
      <c r="C30" s="39" t="n">
        <v>1600</v>
      </c>
      <c r="D30" s="35" t="inlineStr">
        <is>
          <t>hours / year</t>
        </is>
      </c>
      <c r="E30" s="38" t="inlineStr">
        <is>
          <t>A planning figure after leave, training and meetings.</t>
        </is>
      </c>
    </row>
    <row r="31">
      <c r="B31" s="182" t="inlineStr">
        <is>
          <t>With AI: your base case</t>
        </is>
      </c>
      <c r="C31" s="7" t="n"/>
      <c r="D31" s="7" t="n"/>
      <c r="E31" s="7" t="n"/>
      <c r="F31" s="7" t="n"/>
    </row>
    <row r="32" ht="29" customHeight="1">
      <c r="B32" s="33" t="inlineStr">
        <is>
          <t>Share of items the AI handles (the rest are escalated to today's process)</t>
        </is>
      </c>
      <c r="C32" s="42" t="n">
        <v>0.8</v>
      </c>
      <c r="D32" s="35" t="inlineStr">
        <is>
          <t>% of items</t>
        </is>
      </c>
      <c r="E32" s="38" t="inlineStr">
        <is>
          <t>One in five files is escalated: poor scans, unusual documents, anything out of scope.</t>
        </is>
      </c>
    </row>
    <row r="33" ht="27" customHeight="1">
      <c r="B33" s="33" t="inlineStr">
        <is>
          <t>AI accuracy on your evaluation set, for the items it handles</t>
        </is>
      </c>
      <c r="C33" s="42" t="n">
        <v>0.92</v>
      </c>
      <c r="D33" s="35" t="inlineStr">
        <is>
          <t>% correct</t>
        </is>
      </c>
      <c r="E33" s="38" t="inlineStr">
        <is>
          <t>As measured on a 200-case evaluation set built during discovery. Without that set this would be a guess.</t>
        </is>
      </c>
    </row>
    <row r="34" ht="16" customHeight="1">
      <c r="B34" s="33" t="inlineStr">
        <is>
          <t>Share of AI-handled items a person reviews</t>
        </is>
      </c>
      <c r="C34" s="42" t="n">
        <v>1</v>
      </c>
      <c r="D34" s="35" t="inlineStr">
        <is>
          <t>% of items</t>
        </is>
      </c>
      <c r="E34" s="38" t="inlineStr">
        <is>
          <t>A person reviews every file. In a regulated check the system never approves anyone.</t>
        </is>
      </c>
    </row>
    <row r="35" ht="27" customHeight="1">
      <c r="B35" s="33" t="inlineStr">
        <is>
          <t>Human minutes per reviewed item, with AI assistance</t>
        </is>
      </c>
      <c r="C35" s="45" t="n">
        <v>8</v>
      </c>
      <c r="D35" s="35" t="inlineStr">
        <is>
          <t>minutes</t>
        </is>
      </c>
      <c r="E35" s="38" t="inlineStr">
        <is>
          <t>Checking the extracted details and the named discrepancies. More cautious than the five minutes in the real case.</t>
        </is>
      </c>
    </row>
    <row r="36" ht="16" customHeight="1">
      <c r="B36" s="33" t="inlineStr">
        <is>
          <t>Share of AI errors a reviewer catches</t>
        </is>
      </c>
      <c r="C36" s="42" t="n">
        <v>0.85</v>
      </c>
      <c r="D36" s="35" t="inlineStr">
        <is>
          <t>% of errors</t>
        </is>
      </c>
      <c r="E36" s="38" t="inlineStr">
        <is>
          <t>Reviewers miss some AI errors, especially when the AI is usually right.</t>
        </is>
      </c>
    </row>
    <row r="37" ht="16" customHeight="1">
      <c r="B37" s="33" t="inlineStr">
        <is>
          <t>Minutes to correct an AI error that review catches</t>
        </is>
      </c>
      <c r="C37" s="45" t="n">
        <v>15</v>
      </c>
      <c r="D37" s="35" t="inlineStr">
        <is>
          <t>minutes</t>
        </is>
      </c>
      <c r="E37" s="38" t="inlineStr">
        <is>
          <t>Correcting a wrong extraction or reconciliation, not redoing the whole file.</t>
        </is>
      </c>
    </row>
    <row r="38" ht="16" customHeight="1">
      <c r="B38" s="33" t="inlineStr">
        <is>
          <t>Average cost of an error that slips through after AI</t>
        </is>
      </c>
      <c r="C38" s="51" t="n">
        <v>300</v>
      </c>
      <c r="D38" s="35" t="inlineStr">
        <is>
          <t>£ / error</t>
        </is>
      </c>
      <c r="E38" s="38" t="inlineStr">
        <is>
          <t>Same cost per error as today.</t>
        </is>
      </c>
    </row>
    <row r="39" ht="16" customHeight="1">
      <c r="B39" s="33" t="inlineStr">
        <is>
          <t>Share of freed time that becomes real value</t>
        </is>
      </c>
      <c r="C39" s="42" t="n">
        <v>0.7</v>
      </c>
      <c r="D39" s="35" t="inlineStr">
        <is>
          <t>% of hours</t>
        </is>
      </c>
      <c r="E39" s="38" t="inlineStr">
        <is>
          <t>Freed capacity absorbs growth without new hires. Some of it simply becomes slack.</t>
        </is>
      </c>
    </row>
    <row r="40">
      <c r="B40" s="182" t="inlineStr">
        <is>
          <t>Run cost: what the AI costs per item</t>
        </is>
      </c>
      <c r="C40" s="7" t="n"/>
      <c r="D40" s="7" t="n"/>
      <c r="E40" s="7" t="n"/>
      <c r="F40" s="7" t="n"/>
    </row>
    <row r="41" ht="16" customHeight="1">
      <c r="B41" s="33" t="inlineStr">
        <is>
          <t>Model calls per item</t>
        </is>
      </c>
      <c r="C41" s="45" t="n">
        <v>6</v>
      </c>
      <c r="D41" s="35" t="inlineStr">
        <is>
          <t>calls</t>
        </is>
      </c>
      <c r="E41" s="38" t="inlineStr">
        <is>
          <t>One call per document, a reconciliation step and the occasional retry.</t>
        </is>
      </c>
    </row>
    <row r="42" ht="16" customHeight="1">
      <c r="B42" s="33" t="inlineStr">
        <is>
          <t>Input tokens per call</t>
        </is>
      </c>
      <c r="C42" s="39" t="n">
        <v>12000</v>
      </c>
      <c r="D42" s="35" t="inlineStr">
        <is>
          <t>tokens</t>
        </is>
      </c>
      <c r="E42" s="38" t="inlineStr">
        <is>
          <t>Several pages of documents plus instructions per call.</t>
        </is>
      </c>
    </row>
    <row r="43" ht="16" customHeight="1">
      <c r="B43" s="33" t="inlineStr">
        <is>
          <t>Output tokens per call</t>
        </is>
      </c>
      <c r="C43" s="39" t="n">
        <v>800</v>
      </c>
      <c r="D43" s="35" t="inlineStr">
        <is>
          <t>tokens</t>
        </is>
      </c>
      <c r="E43" s="38" t="inlineStr">
        <is>
          <t>Structured fields and a short list of discrepancies.</t>
        </is>
      </c>
    </row>
    <row r="44" ht="16" customHeight="1">
      <c r="B44" s="33" t="inlineStr">
        <is>
          <t>Price per million input tokens</t>
        </is>
      </c>
      <c r="C44" s="54" t="n">
        <v>3</v>
      </c>
      <c r="D44" s="35" t="inlineStr">
        <is>
          <t>US$</t>
        </is>
      </c>
      <c r="E44" s="38" t="inlineStr">
        <is>
          <t>Illustrative mid-tier price, not any vendor's quote.</t>
        </is>
      </c>
    </row>
    <row r="45" ht="16" customHeight="1">
      <c r="B45" s="33" t="inlineStr">
        <is>
          <t>Price per million output tokens</t>
        </is>
      </c>
      <c r="C45" s="54" t="n">
        <v>15</v>
      </c>
      <c r="D45" s="35" t="inlineStr">
        <is>
          <t>US$</t>
        </is>
      </c>
      <c r="E45" s="38" t="inlineStr">
        <is>
          <t>Illustrative mid-tier price, not any vendor's quote.</t>
        </is>
      </c>
    </row>
    <row r="46" ht="16" customHeight="1">
      <c r="B46" s="33" t="inlineStr">
        <is>
          <t>Your currency per US$1</t>
        </is>
      </c>
      <c r="C46" s="57" t="n">
        <v>0.75</v>
      </c>
      <c r="D46" s="35" t="inlineStr">
        <is>
          <t>rate</t>
        </is>
      </c>
      <c r="E46" s="38" t="inlineStr">
        <is>
          <t>Illustrative planning rate.</t>
        </is>
      </c>
    </row>
    <row r="47" ht="16" customHeight="1">
      <c r="B47" s="33" t="inlineStr">
        <is>
          <t>Or: known run cost per item (replaces the token calculation)</t>
        </is>
      </c>
      <c r="C47" s="60" t="n"/>
      <c r="D47" s="35" t="inlineStr">
        <is>
          <t>£ / item</t>
        </is>
      </c>
      <c r="E47" s="38" t="inlineStr">
        <is>
          <t>Left blank, so the token calculation is used.</t>
        </is>
      </c>
    </row>
    <row r="48" ht="16" customHeight="1">
      <c r="B48" s="33" t="inlineStr">
        <is>
          <t>Platform and hosting cost per month</t>
        </is>
      </c>
      <c r="C48" s="51" t="n">
        <v>1500</v>
      </c>
      <c r="D48" s="35" t="inlineStr">
        <is>
          <t>£ / month</t>
        </is>
      </c>
      <c r="E48" s="38" t="inlineStr">
        <is>
          <t>Hosting, document storage, logging and monitoring.</t>
        </is>
      </c>
    </row>
    <row r="49">
      <c r="B49" s="182" t="inlineStr">
        <is>
          <t>One-off costs</t>
        </is>
      </c>
      <c r="C49" s="7" t="n"/>
      <c r="D49" s="7" t="n"/>
      <c r="E49" s="7" t="n"/>
      <c r="F49" s="7" t="n"/>
    </row>
    <row r="50" ht="16" customHeight="1">
      <c r="B50" s="33" t="inlineStr">
        <is>
          <t>Discovery and business case</t>
        </is>
      </c>
      <c r="C50" s="51" t="n">
        <v>15000</v>
      </c>
      <c r="D50" s="35" t="inlineStr">
        <is>
          <t>£</t>
        </is>
      </c>
      <c r="E50" s="38" t="inlineStr">
        <is>
          <t>Two to three weeks mapping the process and measuring the baseline.</t>
        </is>
      </c>
    </row>
    <row r="51" ht="16" customHeight="1">
      <c r="B51" s="33" t="inlineStr">
        <is>
          <t>Evaluation suite build</t>
        </is>
      </c>
      <c r="C51" s="51" t="n">
        <v>20000</v>
      </c>
      <c r="D51" s="35" t="inlineStr">
        <is>
          <t>£</t>
        </is>
      </c>
      <c r="E51" s="38" t="inlineStr">
        <is>
          <t>Collecting and labelling 200 real files with the correct answers.</t>
        </is>
      </c>
    </row>
    <row r="52" ht="16" customHeight="1">
      <c r="B52" s="33" t="inlineStr">
        <is>
          <t>Engineering build</t>
        </is>
      </c>
      <c r="C52" s="51" t="n">
        <v>60000</v>
      </c>
      <c r="D52" s="35" t="inlineStr">
        <is>
          <t>£</t>
        </is>
      </c>
      <c r="E52" s="38" t="inlineStr">
        <is>
          <t>Extraction, reconciliation and the reviewer's screen.</t>
        </is>
      </c>
    </row>
    <row r="53" ht="16" customHeight="1">
      <c r="B53" s="33" t="inlineStr">
        <is>
          <t>Integration with existing systems</t>
        </is>
      </c>
      <c r="C53" s="51" t="n">
        <v>25000</v>
      </c>
      <c r="D53" s="35" t="inlineStr">
        <is>
          <t>£</t>
        </is>
      </c>
      <c r="E53" s="38" t="inlineStr">
        <is>
          <t>Connecting to the onboarding system and case management.</t>
        </is>
      </c>
    </row>
    <row r="54" ht="16" customHeight="1">
      <c r="B54" s="33" t="inlineStr">
        <is>
          <t>Change management and training</t>
        </is>
      </c>
      <c r="C54" s="51" t="n">
        <v>10000</v>
      </c>
      <c r="D54" s="35" t="inlineStr">
        <is>
          <t>£</t>
        </is>
      </c>
      <c r="E54" s="38" t="inlineStr">
        <is>
          <t>Training the analysts and rewriting the procedure.</t>
        </is>
      </c>
    </row>
    <row r="55" ht="16" customHeight="1">
      <c r="B55" s="33" t="inlineStr">
        <is>
          <t>Spread one-off costs over the first N quarters (1 to 4)</t>
        </is>
      </c>
      <c r="C55" s="65" t="n">
        <v>2</v>
      </c>
      <c r="D55" s="35" t="inlineStr">
        <is>
          <t>quarters</t>
        </is>
      </c>
      <c r="E55" s="38" t="inlineStr">
        <is>
          <t>The build runs over the first two quarters.</t>
        </is>
      </c>
    </row>
    <row r="56">
      <c r="B56" s="182" t="inlineStr">
        <is>
          <t>Ongoing costs (per year, from go-live)</t>
        </is>
      </c>
      <c r="C56" s="7" t="n"/>
      <c r="D56" s="7" t="n"/>
      <c r="E56" s="7" t="n"/>
      <c r="F56" s="7" t="n"/>
    </row>
    <row r="57" ht="16" customHeight="1">
      <c r="B57" s="33" t="inlineStr">
        <is>
          <t>Maintenance and engineering time</t>
        </is>
      </c>
      <c r="C57" s="51" t="n">
        <v>30000</v>
      </c>
      <c r="D57" s="35" t="inlineStr">
        <is>
          <t>£ / year</t>
        </is>
      </c>
      <c r="E57" s="38" t="inlineStr">
        <is>
          <t>A share of an engineer's time for fixes, prompt changes and model updates.</t>
        </is>
      </c>
    </row>
    <row r="58" ht="16" customHeight="1">
      <c r="B58" s="33" t="inlineStr">
        <is>
          <t>Evaluation upkeep</t>
        </is>
      </c>
      <c r="C58" s="51" t="n">
        <v>10000</v>
      </c>
      <c r="D58" s="35" t="inlineStr">
        <is>
          <t>£ / year</t>
        </is>
      </c>
      <c r="E58" s="38" t="inlineStr">
        <is>
          <t>Adding new cases and re-running the suite whenever the model changes.</t>
        </is>
      </c>
    </row>
    <row r="59" ht="16" customHeight="1">
      <c r="B59" s="33" t="inlineStr">
        <is>
          <t>Vendor licences</t>
        </is>
      </c>
      <c r="C59" s="51" t="n">
        <v>12000</v>
      </c>
      <c r="D59" s="35" t="inlineStr">
        <is>
          <t>£ / year</t>
        </is>
      </c>
      <c r="E59" s="38" t="inlineStr">
        <is>
          <t>Document-processing and monitoring tools.</t>
        </is>
      </c>
    </row>
    <row r="60">
      <c r="B60" s="182" t="inlineStr">
        <is>
          <t>Adoption plan: share of the year's volume going through the AI workflow, by quarter</t>
        </is>
      </c>
      <c r="C60" s="7" t="n"/>
      <c r="D60" s="7" t="n"/>
      <c r="E60" s="7" t="n"/>
      <c r="F60" s="7" t="n"/>
    </row>
    <row r="61" ht="16" customHeight="1">
      <c r="B61" s="33" t="inlineStr">
        <is>
          <t>Year 1, quarter 1</t>
        </is>
      </c>
      <c r="C61" s="69" t="n">
        <v>0</v>
      </c>
      <c r="D61" s="35" t="inlineStr">
        <is>
          <t>% of volume</t>
        </is>
      </c>
      <c r="E61" s="38" t="inlineStr">
        <is>
          <t>Build. Nothing live yet.</t>
        </is>
      </c>
    </row>
    <row r="62" ht="16" customHeight="1">
      <c r="B62" s="33" t="inlineStr">
        <is>
          <t>Year 1, quarter 2</t>
        </is>
      </c>
      <c r="C62" s="69" t="n">
        <v>0.1</v>
      </c>
      <c r="D62" s="35" t="inlineStr">
        <is>
          <t>% of volume</t>
        </is>
      </c>
      <c r="E62" s="38" t="inlineStr">
        <is>
          <t>Pilot on one team.</t>
        </is>
      </c>
    </row>
    <row r="63" ht="16" customHeight="1">
      <c r="B63" s="33" t="inlineStr">
        <is>
          <t>Year 1, quarter 3</t>
        </is>
      </c>
      <c r="C63" s="69" t="n">
        <v>0.4</v>
      </c>
      <c r="D63" s="35" t="inlineStr">
        <is>
          <t>% of volume</t>
        </is>
      </c>
      <c r="E63" s="38" t="inlineStr">
        <is>
          <t>Half the teams.</t>
        </is>
      </c>
    </row>
    <row r="64" ht="16" customHeight="1">
      <c r="B64" s="33" t="inlineStr">
        <is>
          <t>Year 1, quarter 4</t>
        </is>
      </c>
      <c r="C64" s="69" t="n">
        <v>0.7</v>
      </c>
      <c r="D64" s="35" t="inlineStr">
        <is>
          <t>% of volume</t>
        </is>
      </c>
      <c r="E64" s="38" t="inlineStr">
        <is>
          <t>Most teams.</t>
        </is>
      </c>
    </row>
    <row r="65" ht="16" customHeight="1">
      <c r="B65" s="33" t="inlineStr">
        <is>
          <t>Year 2, quarter 1</t>
        </is>
      </c>
      <c r="C65" s="69" t="n">
        <v>0.85</v>
      </c>
      <c r="D65" s="35" t="inlineStr">
        <is>
          <t>% of volume</t>
        </is>
      </c>
      <c r="E65" s="38" t="inlineStr"/>
    </row>
    <row r="66" ht="16" customHeight="1">
      <c r="B66" s="33" t="inlineStr">
        <is>
          <t>Year 2, quarter 2</t>
        </is>
      </c>
      <c r="C66" s="69" t="n">
        <v>0.9</v>
      </c>
      <c r="D66" s="35" t="inlineStr">
        <is>
          <t>% of volume</t>
        </is>
      </c>
      <c r="E66" s="38" t="inlineStr">
        <is>
          <t>Steady state. One in ten files stays fully manual by design.</t>
        </is>
      </c>
    </row>
    <row r="67" ht="16" customHeight="1">
      <c r="B67" s="33" t="inlineStr">
        <is>
          <t>Year 2, quarter 3</t>
        </is>
      </c>
      <c r="C67" s="69" t="n">
        <v>0.9</v>
      </c>
      <c r="D67" s="35" t="inlineStr">
        <is>
          <t>% of volume</t>
        </is>
      </c>
      <c r="E67" s="38" t="inlineStr"/>
    </row>
    <row r="68" ht="16" customHeight="1">
      <c r="B68" s="33" t="inlineStr">
        <is>
          <t>Year 2, quarter 4</t>
        </is>
      </c>
      <c r="C68" s="69" t="n">
        <v>0.9</v>
      </c>
      <c r="D68" s="35" t="inlineStr">
        <is>
          <t>% of volume</t>
        </is>
      </c>
      <c r="E68" s="38" t="inlineStr"/>
    </row>
    <row r="69" ht="16" customHeight="1">
      <c r="B69" s="33" t="inlineStr">
        <is>
          <t>Year 3, quarter 1</t>
        </is>
      </c>
      <c r="C69" s="69" t="n">
        <v>0.9</v>
      </c>
      <c r="D69" s="35" t="inlineStr">
        <is>
          <t>% of volume</t>
        </is>
      </c>
      <c r="E69" s="38" t="inlineStr"/>
    </row>
    <row r="70" ht="16" customHeight="1">
      <c r="B70" s="33" t="inlineStr">
        <is>
          <t>Year 3, quarter 2</t>
        </is>
      </c>
      <c r="C70" s="69" t="n">
        <v>0.9</v>
      </c>
      <c r="D70" s="35" t="inlineStr">
        <is>
          <t>% of volume</t>
        </is>
      </c>
      <c r="E70" s="38" t="inlineStr"/>
    </row>
    <row r="71" ht="16" customHeight="1">
      <c r="B71" s="33" t="inlineStr">
        <is>
          <t>Year 3, quarter 3</t>
        </is>
      </c>
      <c r="C71" s="69" t="n">
        <v>0.9</v>
      </c>
      <c r="D71" s="35" t="inlineStr">
        <is>
          <t>% of volume</t>
        </is>
      </c>
      <c r="E71" s="38" t="inlineStr"/>
    </row>
    <row r="72" ht="16" customHeight="1">
      <c r="B72" s="33" t="inlineStr">
        <is>
          <t>Year 3, quarter 4</t>
        </is>
      </c>
      <c r="C72" s="69" t="n">
        <v>0.9</v>
      </c>
      <c r="D72" s="35" t="inlineStr">
        <is>
          <t>% of volume</t>
        </is>
      </c>
      <c r="E72" s="38" t="inlineStr"/>
    </row>
    <row r="73">
      <c r="B73" s="182" t="inlineStr">
        <is>
          <t>Finance</t>
        </is>
      </c>
      <c r="C73" s="7" t="n"/>
      <c r="D73" s="7" t="n"/>
      <c r="E73" s="7" t="n"/>
      <c r="F73" s="7" t="n"/>
    </row>
    <row r="74" ht="16" customHeight="1">
      <c r="B74" s="33" t="inlineStr">
        <is>
          <t>Discount rate (per year)</t>
        </is>
      </c>
      <c r="C74" s="42" t="n">
        <v>0.1</v>
      </c>
      <c r="D74" s="35" t="inlineStr">
        <is>
          <t>% / year</t>
        </is>
      </c>
      <c r="E74" s="38" t="inlineStr">
        <is>
          <t>Illustrative hurdle rate.</t>
        </is>
      </c>
    </row>
    <row r="75">
      <c r="B75" s="182" t="inlineStr">
        <is>
          <t>For the Board summary</t>
        </is>
      </c>
      <c r="C75" s="7" t="n"/>
      <c r="D75" s="7" t="n"/>
      <c r="E75" s="7" t="n"/>
      <c r="F75" s="7" t="n"/>
    </row>
    <row r="76" ht="66.5" customHeight="1">
      <c r="B76" s="33" t="inlineStr">
        <is>
          <t>The decision you are asking for</t>
        </is>
      </c>
      <c r="C76" s="72" t="inlineStr">
        <is>
          <t>Approve £35,000 for discovery and the evaluation suite, then a 12-week pilot on one onboarding team. Release the remaining £95,000 build budget only if the pilot meets the success metric below.</t>
        </is>
      </c>
      <c r="D76" s="35" t="inlineStr">
        <is>
          <t>text</t>
        </is>
      </c>
      <c r="E76" s="38" t="inlineStr">
        <is>
          <t>A staged ask: the expensive part is released on evidence.</t>
        </is>
      </c>
    </row>
    <row r="77" ht="91.5" customHeight="1">
      <c r="B77" s="33" t="inlineStr">
        <is>
          <t>Pre-registered success metric</t>
        </is>
      </c>
      <c r="C77" s="72" t="inlineStr">
        <is>
          <t>On the fixed 200-case evaluation set and four weeks of live pilot: accuracy of at least 90% on the files the AI handles, at least 75% of files handled without escalation, and median review time of 10 minutes or less. Before full rollout, the two open analyst vacancies are closed, not filled.</t>
        </is>
      </c>
      <c r="D77" s="35" t="inlineStr">
        <is>
          <t>text</t>
        </is>
      </c>
      <c r="E77" s="38" t="inlineStr">
        <is>
          <t>Set above the break-even values, so passing it means the case holds.</t>
        </is>
      </c>
    </row>
    <row r="78" ht="54" customHeight="1">
      <c r="B78" s="33" t="inlineStr">
        <is>
          <t>Kill criterion</t>
        </is>
      </c>
      <c r="C78" s="72" t="inlineStr">
        <is>
          <t>Stop if, after two improvement cycles, accuracy is below 85%, fewer than 65% of files are handled without escalation, or median review time is above 15 minutes.</t>
        </is>
      </c>
      <c r="D78" s="35" t="inlineStr">
        <is>
          <t>text</t>
        </is>
      </c>
      <c r="E78" s="38" t="inlineStr">
        <is>
          <t>Inside the break-even values on the Sensitivity tab, so stopping happens before the case is lost.</t>
        </is>
      </c>
    </row>
    <row r="79" ht="16.5" customHeight="1">
      <c r="B79" s="33" t="inlineStr">
        <is>
          <t>Review date</t>
        </is>
      </c>
      <c r="C79" s="72" t="inlineStr">
        <is>
          <t>End of week 12 of the pilot</t>
        </is>
      </c>
      <c r="D79" s="35" t="inlineStr">
        <is>
          <t>text</t>
        </is>
      </c>
      <c r="E79" s="38" t="inlineStr"/>
    </row>
    <row r="80" ht="16.5" customHeight="1">
      <c r="B80" s="33" t="inlineStr">
        <is>
          <t>Accountable owner</t>
        </is>
      </c>
      <c r="C80" s="72" t="inlineStr">
        <is>
          <t>Head of Operations</t>
        </is>
      </c>
      <c r="D80" s="35" t="inlineStr">
        <is>
          <t>text</t>
        </is>
      </c>
      <c r="E80" s="38" t="inlineStr"/>
    </row>
    <row r="81" ht="41.5" customHeight="1">
      <c r="B81" s="33" t="inlineStr">
        <is>
          <t>Risk 1 and how you'll manage it</t>
        </is>
      </c>
      <c r="C81" s="72" t="inlineStr">
        <is>
          <t>Accuracy drops when the vendor updates the model. We pin the model version and re-run the evaluation suite before every change.</t>
        </is>
      </c>
      <c r="D81" s="35" t="inlineStr">
        <is>
          <t>text</t>
        </is>
      </c>
      <c r="E81" s="38" t="inlineStr"/>
    </row>
    <row r="82" ht="41.5" customHeight="1">
      <c r="B82" s="33" t="inlineStr">
        <is>
          <t>Risk 2 and how you'll manage it</t>
        </is>
      </c>
      <c r="C82" s="72" t="inlineStr">
        <is>
          <t>Reviewers start approving the AI's work without checking it. We seed known errors into the queue each month and track the catch rate.</t>
        </is>
      </c>
      <c r="D82" s="35" t="inlineStr">
        <is>
          <t>text</t>
        </is>
      </c>
      <c r="E82" s="38" t="inlineStr"/>
    </row>
    <row r="83" ht="54" customHeight="1">
      <c r="B83" s="33" t="inlineStr">
        <is>
          <t>Risk 3 and how you'll manage it</t>
        </is>
      </c>
      <c r="C83" s="72" t="inlineStr">
        <is>
          <t>Run cost grows faster than volume as documents get longer or retries creep in. We meter cost per application weekly against this business case.</t>
        </is>
      </c>
      <c r="D83" s="35" t="inlineStr">
        <is>
          <t>text</t>
        </is>
      </c>
      <c r="E83" s="38" t="inlineStr"/>
    </row>
  </sheetData>
  <mergeCells count="61">
    <mergeCell ref="B4:F4"/>
    <mergeCell ref="E43:F43"/>
    <mergeCell ref="E50:F50"/>
    <mergeCell ref="E55:F55"/>
    <mergeCell ref="E24:F24"/>
    <mergeCell ref="E62:F62"/>
    <mergeCell ref="E68:F68"/>
    <mergeCell ref="E33:F33"/>
    <mergeCell ref="B3:F3"/>
    <mergeCell ref="E67:F67"/>
    <mergeCell ref="E71:F71"/>
    <mergeCell ref="E42:F42"/>
    <mergeCell ref="E23:F23"/>
    <mergeCell ref="E52:F52"/>
    <mergeCell ref="E83:F83"/>
    <mergeCell ref="E48:F48"/>
    <mergeCell ref="E39:F39"/>
    <mergeCell ref="E64:F64"/>
    <mergeCell ref="E44:F44"/>
    <mergeCell ref="E79:F79"/>
    <mergeCell ref="E82:F82"/>
    <mergeCell ref="E35:F35"/>
    <mergeCell ref="E51:F51"/>
    <mergeCell ref="E20:F20"/>
    <mergeCell ref="E38:F38"/>
    <mergeCell ref="B2:F2"/>
    <mergeCell ref="E29:F29"/>
    <mergeCell ref="E63:F63"/>
    <mergeCell ref="E28:F28"/>
    <mergeCell ref="E69:F69"/>
    <mergeCell ref="E78:F78"/>
    <mergeCell ref="E74:F74"/>
    <mergeCell ref="E65:F65"/>
    <mergeCell ref="E34:F34"/>
    <mergeCell ref="E59:F59"/>
    <mergeCell ref="E30:F30"/>
    <mergeCell ref="E77:F77"/>
    <mergeCell ref="E46:F46"/>
    <mergeCell ref="E58:F58"/>
    <mergeCell ref="E80:F80"/>
    <mergeCell ref="E27:F27"/>
    <mergeCell ref="E45:F45"/>
    <mergeCell ref="E36:F36"/>
    <mergeCell ref="E61:F61"/>
    <mergeCell ref="E26:F26"/>
    <mergeCell ref="E70:F70"/>
    <mergeCell ref="E57:F57"/>
    <mergeCell ref="E54:F54"/>
    <mergeCell ref="E32:F32"/>
    <mergeCell ref="E76:F76"/>
    <mergeCell ref="E72:F72"/>
    <mergeCell ref="E41:F41"/>
    <mergeCell ref="E81:F81"/>
    <mergeCell ref="B5:F5"/>
    <mergeCell ref="E37:F37"/>
    <mergeCell ref="E22:F22"/>
    <mergeCell ref="E53:F53"/>
    <mergeCell ref="E66:F66"/>
    <mergeCell ref="E18:F18"/>
    <mergeCell ref="E47:F47"/>
    <mergeCell ref="E21:F21"/>
  </mergeCells>
  <dataValidations count="5">
    <dataValidation sqref="C28 C32 C33 C34 C36 C39 C61 C62 C63 C64 C65 C66 C67 C68 C69 C70 C71 C72" showDropDown="0" showInputMessage="0" showErrorMessage="1" allowBlank="1" errorTitle="Percentage between 0% and 100%" error="Enter a percentage between 0% and 100%, e.g. 85%." type="decimal" operator="between">
      <formula1>0</formula1>
      <formula2>1</formula2>
    </dataValidation>
    <dataValidation sqref="C24" showDropDown="0" showInputMessage="0" showErrorMessage="1" allowBlank="1" errorTitle="Growth rate" error="Enter growth between -50% and 200%." type="decimal" operator="between">
      <formula1>-0.5</formula1>
      <formula2>2</formula2>
    </dataValidation>
    <dataValidation sqref="C74" showDropDown="0" showInputMessage="0" showErrorMessage="1" allowBlank="1" errorTitle="Discount rate" error="Enter a discount rate between 0% and 50%." type="decimal" operator="between">
      <formula1>0</formula1>
      <formula2>0.5</formula2>
    </dataValidation>
    <dataValidation sqref="C23 C26 C27 C29 C30 C35 C37 C38 C41 C42 C43 C44 C45 C46 C47 C48 C50 C51 C52 C53 C54 C57 C58 C59" showDropDown="0" showInputMessage="0" showErrorMessage="1" allowBlank="1" errorTitle="Number of zero or more" error="Enter a number of zero or more." type="decimal" operator="greaterThanOrEqual">
      <formula1>0</formula1>
    </dataValidation>
    <dataValidation sqref="C55" showDropDown="0" showInputMessage="0" showErrorMessage="1" allowBlank="1" errorTitle="Whole number from 1 to 4" error="Enter a whole number of quarters from 1 to 4." type="whole" operator="between">
      <formula1>1</formula1>
      <formula2>4</formula2>
    </dataValidation>
  </dataValidations>
  <pageMargins left="0.75" right="0.75" top="1" bottom="1" header="0.5" footer="0.5"/>
  <pageSetup orientation="landscape" fitToHeight="0" fitToWidth="1"/>
</worksheet>
</file>

<file path=xl/worksheets/sheet8.xml><?xml version="1.0" encoding="utf-8"?>
<worksheet xmlns="http://schemas.openxmlformats.org/spreadsheetml/2006/main">
  <sheetPr>
    <tabColor rgb="009AA5B1"/>
    <outlinePr summaryBelow="1" summaryRight="1"/>
    <pageSetUpPr fitToPage="1"/>
  </sheetPr>
  <dimension ref="B1:AC98"/>
  <sheetViews>
    <sheetView workbookViewId="0">
      <pane xSplit="3" ySplit="4" topLeftCell="D5" activePane="bottomRight" state="frozen"/>
      <selection pane="topRight"/>
      <selection pane="bottomLeft"/>
      <selection pane="bottomRight" activeCell="A1" sqref="A1"/>
    </sheetView>
  </sheetViews>
  <sheetFormatPr baseColWidth="8" defaultRowHeight="15"/>
  <cols>
    <col width="2" customWidth="1" min="1" max="1"/>
    <col width="44" customWidth="1" min="2" max="2"/>
    <col width="16" customWidth="1" min="3" max="3"/>
    <col width="11" customWidth="1" min="4" max="4"/>
    <col width="11" customWidth="1" min="5" max="5"/>
    <col width="11" customWidth="1" min="6" max="6"/>
    <col width="11" customWidth="1" min="7" max="7"/>
    <col width="11" customWidth="1" min="8" max="8"/>
    <col width="11" customWidth="1" min="9" max="9"/>
    <col width="11" customWidth="1" min="10" max="10"/>
    <col width="11" customWidth="1" min="11" max="11"/>
    <col width="11" customWidth="1" min="12" max="12"/>
    <col width="11" customWidth="1" min="13" max="13"/>
    <col width="11" customWidth="1" min="14" max="14"/>
    <col width="11" customWidth="1" min="15" max="15"/>
    <col width="11" customWidth="1" min="16" max="16"/>
    <col width="11" customWidth="1" min="17" max="17"/>
    <col width="11" customWidth="1" min="18" max="18"/>
    <col width="11" customWidth="1" min="19" max="19"/>
    <col width="11" customWidth="1" min="20" max="20"/>
    <col width="11" customWidth="1" min="21" max="21"/>
    <col width="11" customWidth="1" min="22" max="22"/>
    <col width="11" customWidth="1" min="23" max="23"/>
    <col width="11" customWidth="1" min="24" max="24"/>
    <col width="11" customWidth="1" min="25" max="25"/>
    <col width="11" customWidth="1" min="26" max="26"/>
    <col width="11" customWidth="1" min="27" max="27"/>
    <col width="13" customWidth="1" min="28" max="28"/>
    <col width="13" customWidth="1" min="29" max="29"/>
  </cols>
  <sheetData>
    <row r="1" ht="30" customHeight="1">
      <c r="B1" s="24" t="inlineStr">
        <is>
          <t>Engine: reruns the model for the Sensitivity and Board summary tabs</t>
        </is>
      </c>
      <c r="C1" s="2" t="n"/>
      <c r="D1" s="2" t="n"/>
      <c r="E1" s="2" t="n"/>
      <c r="F1" s="2" t="n"/>
      <c r="G1" s="2" t="n"/>
      <c r="H1" s="2" t="n"/>
      <c r="I1" s="2" t="n"/>
      <c r="J1" s="2" t="n"/>
      <c r="K1" s="2" t="n"/>
      <c r="L1" s="2" t="n"/>
      <c r="M1" s="2" t="n"/>
      <c r="N1" s="2" t="n"/>
      <c r="O1" s="2" t="n"/>
      <c r="P1" s="2" t="n"/>
      <c r="Q1" s="2" t="n"/>
      <c r="R1" s="2" t="n"/>
      <c r="S1" s="2" t="n"/>
      <c r="T1" s="2" t="n"/>
      <c r="U1" s="2" t="n"/>
      <c r="V1" s="2" t="n"/>
      <c r="W1" s="2" t="n"/>
      <c r="X1" s="2" t="n"/>
      <c r="Y1" s="2" t="n"/>
      <c r="Z1" s="2" t="n"/>
      <c r="AA1" s="2" t="n"/>
      <c r="AB1" s="2" t="n"/>
      <c r="AC1" s="2" t="n"/>
    </row>
    <row r="2" ht="28" customHeight="1">
      <c r="B2" s="23" t="inlineStr">
        <is>
          <t>No need to edit anything here. Each row reruns the full quarterly model with a different set of assumptions, using the same logic as the Model tab, so the sensitivity tables need no What-If data tables or macros. The first four rows must match the Model tab (see the checks there).</t>
        </is>
      </c>
    </row>
    <row r="3" ht="28" customHeight="1">
      <c r="B3" s="25" t="inlineStr">
        <is>
          <t>Case</t>
        </is>
      </c>
      <c r="C3" s="26" t="inlineStr">
        <is>
          <t>Group</t>
        </is>
      </c>
      <c r="D3" s="26" t="inlineStr">
        <is>
          <t>Accuracy</t>
        </is>
      </c>
      <c r="E3" s="26" t="inlineStr">
        <is>
          <t>Handled</t>
        </is>
      </c>
      <c r="F3" s="26" t="inlineStr">
        <is>
          <t>Review min</t>
        </is>
      </c>
      <c r="G3" s="26" t="inlineStr">
        <is>
          <t>Value share</t>
        </is>
      </c>
      <c r="H3" s="26" t="inlineStr">
        <is>
          <t>Adoption x</t>
        </is>
      </c>
      <c r="I3" s="26" t="inlineStr">
        <is>
          <t>Delay q</t>
        </is>
      </c>
      <c r="J3" s="26" t="inlineStr">
        <is>
          <t>Run £/item</t>
        </is>
      </c>
      <c r="K3" s="26" t="inlineStr">
        <is>
          <t>One-off £</t>
        </is>
      </c>
      <c r="L3" s="26" t="inlineStr">
        <is>
          <t>Min saved</t>
        </is>
      </c>
      <c r="M3" s="26" t="inlineStr">
        <is>
          <t>Time £/item</t>
        </is>
      </c>
      <c r="N3" s="26" t="inlineStr">
        <is>
          <t>Errors £/item</t>
        </is>
      </c>
      <c r="O3" s="26" t="inlineStr">
        <is>
          <t>Net £/item</t>
        </is>
      </c>
      <c r="P3" s="26" t="inlineStr">
        <is>
          <t>Q1</t>
        </is>
      </c>
      <c r="Q3" s="26" t="inlineStr">
        <is>
          <t>Q2</t>
        </is>
      </c>
      <c r="R3" s="26" t="inlineStr">
        <is>
          <t>Q3</t>
        </is>
      </c>
      <c r="S3" s="26" t="inlineStr">
        <is>
          <t>Q4</t>
        </is>
      </c>
      <c r="T3" s="26" t="inlineStr">
        <is>
          <t>Q5</t>
        </is>
      </c>
      <c r="U3" s="26" t="inlineStr">
        <is>
          <t>Q6</t>
        </is>
      </c>
      <c r="V3" s="26" t="inlineStr">
        <is>
          <t>Q7</t>
        </is>
      </c>
      <c r="W3" s="26" t="inlineStr">
        <is>
          <t>Q8</t>
        </is>
      </c>
      <c r="X3" s="26" t="inlineStr">
        <is>
          <t>Q9</t>
        </is>
      </c>
      <c r="Y3" s="26" t="inlineStr">
        <is>
          <t>Q10</t>
        </is>
      </c>
      <c r="Z3" s="26" t="inlineStr">
        <is>
          <t>Q11</t>
        </is>
      </c>
      <c r="AA3" s="26" t="inlineStr">
        <is>
          <t>Q12</t>
        </is>
      </c>
      <c r="AB3" s="26" t="inlineStr">
        <is>
          <t>3-yr NPV</t>
        </is>
      </c>
      <c r="AC3" s="26" t="inlineStr">
        <is>
          <t>3-yr net</t>
        </is>
      </c>
    </row>
    <row r="4">
      <c r="B4" s="76" t="inlineStr">
        <is>
          <t>Quarter number</t>
        </is>
      </c>
      <c r="P4" s="183">
        <f>Model!D$45</f>
        <v>1</v>
      </c>
      <c r="Q4" s="183">
        <f>Model!E$45</f>
        <v>2</v>
      </c>
      <c r="R4" s="183">
        <f>Model!F$45</f>
        <v>3</v>
      </c>
      <c r="S4" s="183">
        <f>Model!G$45</f>
        <v>4</v>
      </c>
      <c r="T4" s="183">
        <f>Model!H$45</f>
        <v>5</v>
      </c>
      <c r="U4" s="183">
        <f>Model!I$45</f>
        <v>6</v>
      </c>
      <c r="V4" s="183">
        <f>Model!J$45</f>
        <v>7</v>
      </c>
      <c r="W4" s="183">
        <f>Model!K$45</f>
        <v>8</v>
      </c>
      <c r="X4" s="183">
        <f>Model!L$45</f>
        <v>9</v>
      </c>
      <c r="Y4" s="183">
        <f>Model!M$45</f>
        <v>10</v>
      </c>
      <c r="Z4" s="183">
        <f>Model!N$45</f>
        <v>11</v>
      </c>
      <c r="AA4" s="183">
        <f>Model!O$45</f>
        <v>12</v>
      </c>
    </row>
    <row r="5">
      <c r="B5" s="28" t="inlineStr">
        <is>
          <t>Low: all assumptions at Low</t>
        </is>
      </c>
      <c r="C5" s="76" t="inlineStr">
        <is>
          <t>Scenario</t>
        </is>
      </c>
      <c r="D5" s="184">
        <f>Scenarios!$C$20</f>
        <v>0.87</v>
      </c>
      <c r="E5" s="184">
        <f>Scenarios!$C$21</f>
        <v>0.7</v>
      </c>
      <c r="F5" s="185">
        <f>Scenarios!$C$22</f>
        <v>12</v>
      </c>
      <c r="G5" s="184">
        <f>Scenarios!$C$23</f>
        <v>0.5</v>
      </c>
      <c r="H5" s="137">
        <f>Scenarios!$C$24</f>
        <v>0.75</v>
      </c>
      <c r="I5" s="186">
        <f>Scenarios!$C$25</f>
        <v>1</v>
      </c>
      <c r="J5" s="187">
        <f>Scenarios!$C$26</f>
        <v>0.432</v>
      </c>
      <c r="K5" s="188">
        <f>Scenarios!$C$27</f>
        <v>162500</v>
      </c>
      <c r="L5" s="189">
        <f>in_MinsToday-(E5*in_ReviewRate*(F5+(1-D5)*in_CatchRate*in_FixMins)+(1-E5)*in_MinsToday)</f>
        <v>18.43975</v>
      </c>
      <c r="M5" s="190">
        <f>IF(L5&gt;0,L5*G5,L5)/60*in_HourlyCost</f>
        <v>6.91490625</v>
      </c>
      <c r="N5" s="190">
        <f>in_ErrRateToday*in_ErrCostToday-(E5*(1-D5)*(1-in_ReviewRate*in_CatchRate)*in_ErrCostAI+(1-E5)*in_ErrRateToday*in_ErrCostToday)</f>
        <v>2.205</v>
      </c>
      <c r="O5" s="191">
        <f>M5+N5-J5</f>
        <v>8.68790625</v>
      </c>
      <c r="P5" s="140">
        <f>Model!D$47*MIN(1,(P$4-$I5&gt;=1)*INDEX(Model!$D$48:$O$48,1,MAX(1,P$4-$I5))*$H5)*$O5-IF(P$4-$I5&gt;=GoLiveQ,1,0)*(in_Platform*3+in_OngoingAnnual/4)-IF(P$4&lt;=in_Spread,$K5/in_Spread,0)</f>
        <v>-81250</v>
      </c>
      <c r="Q5" s="140">
        <f>Model!E$47*MIN(1,(Q$4-$I5&gt;=1)*INDEX(Model!$D$48:$O$48,1,MAX(1,Q$4-$I5))*$H5)*$O5-IF(Q$4-$I5&gt;=GoLiveQ,1,0)*(in_Platform*3+in_OngoingAnnual/4)-IF(Q$4&lt;=in_Spread,$K5/in_Spread,0)</f>
        <v>-81250</v>
      </c>
      <c r="R5" s="140">
        <f>Model!F$47*MIN(1,(R$4-$I5&gt;=1)*INDEX(Model!$D$48:$O$48,1,MAX(1,R$4-$I5))*$H5)*$O5-IF(R$4-$I5&gt;=GoLiveQ,1,0)*(in_Platform*3+in_OngoingAnnual/4)-IF(R$4&lt;=in_Spread,$K5/in_Spread,0)</f>
        <v>-15545.22109375</v>
      </c>
      <c r="S5" s="140">
        <f>Model!G$47*MIN(1,(S$4-$I5&gt;=1)*INDEX(Model!$D$48:$O$48,1,MAX(1,S$4-$I5))*$H5)*$O5-IF(S$4-$I5&gt;=GoLiveQ,1,0)*(in_Platform*3+in_OngoingAnnual/4)-IF(S$4&lt;=in_Spread,$K5/in_Spread,0)</f>
        <v>-9680.884375</v>
      </c>
      <c r="T5" s="140">
        <f>Model!H$47*MIN(1,(T$4-$I5&gt;=1)*INDEX(Model!$D$48:$O$48,1,MAX(1,T$4-$I5))*$H5)*$O5-IF(T$4-$I5&gt;=GoLiveQ,1,0)*(in_Platform*3+in_OngoingAnnual/4)-IF(T$4&lt;=in_Spread,$K5/in_Spread,0)</f>
        <v>-2448.202421875</v>
      </c>
      <c r="U5" s="140">
        <f>Model!I$47*MIN(1,(U$4-$I5&gt;=1)*INDEX(Model!$D$48:$O$48,1,MAX(1,U$4-$I5))*$H5)*$O5-IF(U$4-$I5&gt;=GoLiveQ,1,0)*(in_Platform*3+in_OngoingAnnual/4)-IF(U$4&lt;=in_Spread,$K5/in_Spread,0)</f>
        <v>777.1827734375</v>
      </c>
      <c r="V5" s="140">
        <f>Model!J$47*MIN(1,(V$4-$I5&gt;=1)*INDEX(Model!$D$48:$O$48,1,MAX(1,V$4-$I5))*$H5)*$O5-IF(V$4-$I5&gt;=GoLiveQ,1,0)*(in_Platform*3+in_OngoingAnnual/4)-IF(V$4&lt;=in_Spread,$K5/in_Spread,0)</f>
        <v>1852.311171875</v>
      </c>
      <c r="W5" s="140">
        <f>Model!K$47*MIN(1,(W$4-$I5&gt;=1)*INDEX(Model!$D$48:$O$48,1,MAX(1,W$4-$I5))*$H5)*$O5-IF(W$4-$I5&gt;=GoLiveQ,1,0)*(in_Platform*3+in_OngoingAnnual/4)-IF(W$4&lt;=in_Spread,$K5/in_Spread,0)</f>
        <v>1852.311171875</v>
      </c>
      <c r="X5" s="140">
        <f>Model!L$47*MIN(1,(X$4-$I5&gt;=1)*INDEX(Model!$D$48:$O$48,1,MAX(1,X$4-$I5))*$H5)*$O5-IF(X$4-$I5&gt;=GoLiveQ,1,0)*(in_Platform*3+in_OngoingAnnual/4)-IF(X$4&lt;=in_Spread,$K5/in_Spread,0)</f>
        <v>3787.5422890625</v>
      </c>
      <c r="Y5" s="140">
        <f>Model!M$47*MIN(1,(Y$4-$I5&gt;=1)*INDEX(Model!$D$48:$O$48,1,MAX(1,Y$4-$I5))*$H5)*$O5-IF(Y$4-$I5&gt;=GoLiveQ,1,0)*(in_Platform*3+in_OngoingAnnual/4)-IF(Y$4&lt;=in_Spread,$K5/in_Spread,0)</f>
        <v>3787.5422890625</v>
      </c>
      <c r="Z5" s="140">
        <f>Model!N$47*MIN(1,(Z$4-$I5&gt;=1)*INDEX(Model!$D$48:$O$48,1,MAX(1,Z$4-$I5))*$H5)*$O5-IF(Z$4-$I5&gt;=GoLiveQ,1,0)*(in_Platform*3+in_OngoingAnnual/4)-IF(Z$4&lt;=in_Spread,$K5/in_Spread,0)</f>
        <v>3787.5422890625</v>
      </c>
      <c r="AA5" s="140">
        <f>Model!O$47*MIN(1,(AA$4-$I5&gt;=1)*INDEX(Model!$D$48:$O$48,1,MAX(1,AA$4-$I5))*$H5)*$O5-IF(AA$4-$I5&gt;=GoLiveQ,1,0)*(in_Platform*3+in_OngoingAnnual/4)-IF(AA$4&lt;=in_Spread,$K5/in_Spread,0)</f>
        <v>3787.5422890625</v>
      </c>
      <c r="AB5" s="192">
        <f>SUMPRODUCT(P5:AA5,Model!$D$50:$O$50)</f>
        <v>-166679.409523961</v>
      </c>
      <c r="AC5" s="140">
        <f>SUM(P5:AA5)</f>
        <v>-170542.333617187</v>
      </c>
    </row>
    <row r="6">
      <c r="B6" s="28" t="inlineStr">
        <is>
          <t>Base: all assumptions at Base</t>
        </is>
      </c>
      <c r="C6" s="76" t="inlineStr">
        <is>
          <t>Scenario</t>
        </is>
      </c>
      <c r="D6" s="184">
        <f>Scenarios!$D$20</f>
        <v>0.92</v>
      </c>
      <c r="E6" s="184">
        <f>Scenarios!$D$21</f>
        <v>0.8</v>
      </c>
      <c r="F6" s="185">
        <f>Scenarios!$D$22</f>
        <v>8</v>
      </c>
      <c r="G6" s="184">
        <f>Scenarios!$D$23</f>
        <v>0.7</v>
      </c>
      <c r="H6" s="137">
        <f>Scenarios!$D$24</f>
        <v>1</v>
      </c>
      <c r="I6" s="186">
        <f>Scenarios!$D$25</f>
        <v>0</v>
      </c>
      <c r="J6" s="187">
        <f>Scenarios!$D$26</f>
        <v>0.216</v>
      </c>
      <c r="K6" s="188">
        <f>Scenarios!$D$27</f>
        <v>130000</v>
      </c>
      <c r="L6" s="189">
        <f>in_MinsToday-(E6*in_ReviewRate*(F6+(1-D6)*in_CatchRate*in_FixMins)+(1-E6)*in_MinsToday)</f>
        <v>24.784</v>
      </c>
      <c r="M6" s="190">
        <f>IF(L6&gt;0,L6*G6,L6)/60*in_HourlyCost</f>
        <v>13.0116</v>
      </c>
      <c r="N6" s="190">
        <f>in_ErrRateToday*in_ErrCostToday-(E6*(1-D6)*(1-in_ReviewRate*in_CatchRate)*in_ErrCostAI+(1-E6)*in_ErrRateToday*in_ErrCostToday)</f>
        <v>4.32</v>
      </c>
      <c r="O6" s="191">
        <f>M6+N6-J6</f>
        <v>17.1156</v>
      </c>
      <c r="P6" s="140">
        <f>Model!D$47*MIN(1,(P$4-$I6&gt;=1)*INDEX(Model!$D$48:$O$48,1,MAX(1,P$4-$I6))*$H6)*$O6-IF(P$4-$I6&gt;=GoLiveQ,1,0)*(in_Platform*3+in_OngoingAnnual/4)-IF(P$4&lt;=in_Spread,$K6/in_Spread,0)</f>
        <v>-65000</v>
      </c>
      <c r="Q6" s="140">
        <f>Model!E$47*MIN(1,(Q$4-$I6&gt;=1)*INDEX(Model!$D$48:$O$48,1,MAX(1,Q$4-$I6))*$H6)*$O6-IF(Q$4-$I6&gt;=GoLiveQ,1,0)*(in_Platform*3+in_OngoingAnnual/4)-IF(Q$4&lt;=in_Spread,$K6/in_Spread,0)</f>
        <v>-77365.32</v>
      </c>
      <c r="R6" s="140">
        <f>Model!F$47*MIN(1,(R$4-$I6&gt;=1)*INDEX(Model!$D$48:$O$48,1,MAX(1,R$4-$I6))*$H6)*$O6-IF(R$4-$I6&gt;=GoLiveQ,1,0)*(in_Platform*3+in_OngoingAnnual/4)-IF(R$4&lt;=in_Spread,$K6/in_Spread,0)</f>
        <v>3038.72</v>
      </c>
      <c r="S6" s="140">
        <f>Model!G$47*MIN(1,(S$4-$I6&gt;=1)*INDEX(Model!$D$48:$O$48,1,MAX(1,S$4-$I6))*$H6)*$O6-IF(S$4-$I6&gt;=GoLiveQ,1,0)*(in_Platform*3+in_OngoingAnnual/4)-IF(S$4&lt;=in_Spread,$K6/in_Spread,0)</f>
        <v>18442.76</v>
      </c>
      <c r="T6" s="140">
        <f>Model!H$47*MIN(1,(T$4-$I6&gt;=1)*INDEX(Model!$D$48:$O$48,1,MAX(1,T$4-$I6))*$H6)*$O6-IF(T$4-$I6&gt;=GoLiveQ,1,0)*(in_Platform*3+in_OngoingAnnual/4)-IF(T$4&lt;=in_Spread,$K6/in_Spread,0)</f>
        <v>30509.258</v>
      </c>
      <c r="U6" s="140">
        <f>Model!I$47*MIN(1,(U$4-$I6&gt;=1)*INDEX(Model!$D$48:$O$48,1,MAX(1,U$4-$I6))*$H6)*$O6-IF(U$4-$I6&gt;=GoLiveQ,1,0)*(in_Platform*3+in_OngoingAnnual/4)-IF(U$4&lt;=in_Spread,$K6/in_Spread,0)</f>
        <v>33333.332</v>
      </c>
      <c r="V6" s="140">
        <f>Model!J$47*MIN(1,(V$4-$I6&gt;=1)*INDEX(Model!$D$48:$O$48,1,MAX(1,V$4-$I6))*$H6)*$O6-IF(V$4-$I6&gt;=GoLiveQ,1,0)*(in_Platform*3+in_OngoingAnnual/4)-IF(V$4&lt;=in_Spread,$K6/in_Spread,0)</f>
        <v>33333.332</v>
      </c>
      <c r="W6" s="140">
        <f>Model!K$47*MIN(1,(W$4-$I6&gt;=1)*INDEX(Model!$D$48:$O$48,1,MAX(1,W$4-$I6))*$H6)*$O6-IF(W$4-$I6&gt;=GoLiveQ,1,0)*(in_Platform*3+in_OngoingAnnual/4)-IF(W$4&lt;=in_Spread,$K6/in_Spread,0)</f>
        <v>33333.332</v>
      </c>
      <c r="X6" s="140">
        <f>Model!L$47*MIN(1,(X$4-$I6&gt;=1)*INDEX(Model!$D$48:$O$48,1,MAX(1,X$4-$I6))*$H6)*$O6-IF(X$4-$I6&gt;=GoLiveQ,1,0)*(in_Platform*3+in_OngoingAnnual/4)-IF(X$4&lt;=in_Spread,$K6/in_Spread,0)</f>
        <v>38416.6652</v>
      </c>
      <c r="Y6" s="140">
        <f>Model!M$47*MIN(1,(Y$4-$I6&gt;=1)*INDEX(Model!$D$48:$O$48,1,MAX(1,Y$4-$I6))*$H6)*$O6-IF(Y$4-$I6&gt;=GoLiveQ,1,0)*(in_Platform*3+in_OngoingAnnual/4)-IF(Y$4&lt;=in_Spread,$K6/in_Spread,0)</f>
        <v>38416.6652</v>
      </c>
      <c r="Z6" s="140">
        <f>Model!N$47*MIN(1,(Z$4-$I6&gt;=1)*INDEX(Model!$D$48:$O$48,1,MAX(1,Z$4-$I6))*$H6)*$O6-IF(Z$4-$I6&gt;=GoLiveQ,1,0)*(in_Platform*3+in_OngoingAnnual/4)-IF(Z$4&lt;=in_Spread,$K6/in_Spread,0)</f>
        <v>38416.6652</v>
      </c>
      <c r="AA6" s="140">
        <f>Model!O$47*MIN(1,(AA$4-$I6&gt;=1)*INDEX(Model!$D$48:$O$48,1,MAX(1,AA$4-$I6))*$H6)*$O6-IF(AA$4-$I6&gt;=GoLiveQ,1,0)*(in_Platform*3+in_OngoingAnnual/4)-IF(AA$4&lt;=in_Spread,$K6/in_Spread,0)</f>
        <v>38416.6652</v>
      </c>
      <c r="AB6" s="192">
        <f>SUMPRODUCT(P6:AA6,Model!$D$50:$O$50)</f>
        <v>113792.449549866</v>
      </c>
      <c r="AC6" s="140">
        <f>SUM(P6:AA6)</f>
        <v>163292.0748</v>
      </c>
    </row>
    <row r="7">
      <c r="B7" s="28" t="inlineStr">
        <is>
          <t>High: all assumptions at High</t>
        </is>
      </c>
      <c r="C7" s="76" t="inlineStr">
        <is>
          <t>Scenario</t>
        </is>
      </c>
      <c r="D7" s="184">
        <f>Scenarios!$E$20</f>
        <v>0.94</v>
      </c>
      <c r="E7" s="184">
        <f>Scenarios!$E$21</f>
        <v>0.85</v>
      </c>
      <c r="F7" s="185">
        <f>Scenarios!$E$22</f>
        <v>6.8</v>
      </c>
      <c r="G7" s="184">
        <f>Scenarios!$E$23</f>
        <v>0.8</v>
      </c>
      <c r="H7" s="137">
        <f>Scenarios!$E$24</f>
        <v>1.05</v>
      </c>
      <c r="I7" s="186">
        <f>Scenarios!$E$25</f>
        <v>0</v>
      </c>
      <c r="J7" s="187">
        <f>Scenarios!$E$26</f>
        <v>0.1728</v>
      </c>
      <c r="K7" s="188">
        <f>Scenarios!$E$27</f>
        <v>130000</v>
      </c>
      <c r="L7" s="189">
        <f>in_MinsToday-(E7*in_ReviewRate*(F7+(1-D7)*in_CatchRate*in_FixMins)+(1-E7)*in_MinsToday)</f>
        <v>27.56975</v>
      </c>
      <c r="M7" s="190">
        <f>IF(L7&gt;0,L7*G7,L7)/60*in_HourlyCost</f>
        <v>16.54185</v>
      </c>
      <c r="N7" s="190">
        <f>in_ErrRateToday*in_ErrCostToday-(E7*(1-D7)*(1-in_ReviewRate*in_CatchRate)*in_ErrCostAI+(1-E7)*in_ErrRateToday*in_ErrCostToday)</f>
        <v>5.355</v>
      </c>
      <c r="O7" s="191">
        <f>M7+N7-J7</f>
        <v>21.72405</v>
      </c>
      <c r="P7" s="140">
        <f>Model!D$47*MIN(1,(P$4-$I7&gt;=1)*INDEX(Model!$D$48:$O$48,1,MAX(1,P$4-$I7))*$H7)*$O7-IF(P$4-$I7&gt;=GoLiveQ,1,0)*(in_Platform*3+in_OngoingAnnual/4)-IF(P$4&lt;=in_Spread,$K7/in_Spread,0)</f>
        <v>-65000</v>
      </c>
      <c r="Q7" s="140">
        <f>Model!E$47*MIN(1,(Q$4-$I7&gt;=1)*INDEX(Model!$D$48:$O$48,1,MAX(1,Q$4-$I7))*$H7)*$O7-IF(Q$4-$I7&gt;=GoLiveQ,1,0)*(in_Platform*3+in_OngoingAnnual/4)-IF(Q$4&lt;=in_Spread,$K7/in_Spread,0)</f>
        <v>-75656.92425</v>
      </c>
      <c r="R7" s="140">
        <f>Model!F$47*MIN(1,(R$4-$I7&gt;=1)*INDEX(Model!$D$48:$O$48,1,MAX(1,R$4-$I7))*$H7)*$O7-IF(R$4-$I7&gt;=GoLiveQ,1,0)*(in_Platform*3+in_OngoingAnnual/4)-IF(R$4&lt;=in_Spread,$K7/in_Spread,0)</f>
        <v>9872.30300000001</v>
      </c>
      <c r="S7" s="140">
        <f>Model!G$47*MIN(1,(S$4-$I7&gt;=1)*INDEX(Model!$D$48:$O$48,1,MAX(1,S$4-$I7))*$H7)*$O7-IF(S$4-$I7&gt;=GoLiveQ,1,0)*(in_Platform*3+in_OngoingAnnual/4)-IF(S$4&lt;=in_Spread,$K7/in_Spread,0)</f>
        <v>30401.53025</v>
      </c>
      <c r="T7" s="140">
        <f>Model!H$47*MIN(1,(T$4-$I7&gt;=1)*INDEX(Model!$D$48:$O$48,1,MAX(1,T$4-$I7))*$H7)*$O7-IF(T$4-$I7&gt;=GoLiveQ,1,0)*(in_Platform*3+in_OngoingAnnual/4)-IF(T$4&lt;=in_Spread,$K7/in_Spread,0)</f>
        <v>46482.7582625</v>
      </c>
      <c r="U7" s="140">
        <f>Model!I$47*MIN(1,(U$4-$I7&gt;=1)*INDEX(Model!$D$48:$O$48,1,MAX(1,U$4-$I7))*$H7)*$O7-IF(U$4-$I7&gt;=GoLiveQ,1,0)*(in_Platform*3+in_OngoingAnnual/4)-IF(U$4&lt;=in_Spread,$K7/in_Spread,0)</f>
        <v>50246.449925</v>
      </c>
      <c r="V7" s="140">
        <f>Model!J$47*MIN(1,(V$4-$I7&gt;=1)*INDEX(Model!$D$48:$O$48,1,MAX(1,V$4-$I7))*$H7)*$O7-IF(V$4-$I7&gt;=GoLiveQ,1,0)*(in_Platform*3+in_OngoingAnnual/4)-IF(V$4&lt;=in_Spread,$K7/in_Spread,0)</f>
        <v>50246.449925</v>
      </c>
      <c r="W7" s="140">
        <f>Model!K$47*MIN(1,(W$4-$I7&gt;=1)*INDEX(Model!$D$48:$O$48,1,MAX(1,W$4-$I7))*$H7)*$O7-IF(W$4-$I7&gt;=GoLiveQ,1,0)*(in_Platform*3+in_OngoingAnnual/4)-IF(W$4&lt;=in_Spread,$K7/in_Spread,0)</f>
        <v>50246.449925</v>
      </c>
      <c r="X7" s="140">
        <f>Model!L$47*MIN(1,(X$4-$I7&gt;=1)*INDEX(Model!$D$48:$O$48,1,MAX(1,X$4-$I7))*$H7)*$O7-IF(X$4-$I7&gt;=GoLiveQ,1,0)*(in_Platform*3+in_OngoingAnnual/4)-IF(X$4&lt;=in_Spread,$K7/in_Spread,0)</f>
        <v>57021.0949175</v>
      </c>
      <c r="Y7" s="140">
        <f>Model!M$47*MIN(1,(Y$4-$I7&gt;=1)*INDEX(Model!$D$48:$O$48,1,MAX(1,Y$4-$I7))*$H7)*$O7-IF(Y$4-$I7&gt;=GoLiveQ,1,0)*(in_Platform*3+in_OngoingAnnual/4)-IF(Y$4&lt;=in_Spread,$K7/in_Spread,0)</f>
        <v>57021.0949175</v>
      </c>
      <c r="Z7" s="140">
        <f>Model!N$47*MIN(1,(Z$4-$I7&gt;=1)*INDEX(Model!$D$48:$O$48,1,MAX(1,Z$4-$I7))*$H7)*$O7-IF(Z$4-$I7&gt;=GoLiveQ,1,0)*(in_Platform*3+in_OngoingAnnual/4)-IF(Z$4&lt;=in_Spread,$K7/in_Spread,0)</f>
        <v>57021.0949175</v>
      </c>
      <c r="AA7" s="140">
        <f>Model!O$47*MIN(1,(AA$4-$I7&gt;=1)*INDEX(Model!$D$48:$O$48,1,MAX(1,AA$4-$I7))*$H7)*$O7-IF(AA$4-$I7&gt;=GoLiveQ,1,0)*(in_Platform*3+in_OngoingAnnual/4)-IF(AA$4&lt;=in_Spread,$K7/in_Spread,0)</f>
        <v>57021.0949175</v>
      </c>
      <c r="AB7" s="192">
        <f>SUMPRODUCT(P7:AA7,Model!$D$50:$O$50)</f>
        <v>247753.367730255</v>
      </c>
      <c r="AC7" s="140">
        <f>SUM(P7:AA7)</f>
        <v>324923.3967075</v>
      </c>
    </row>
    <row r="8">
      <c r="B8" s="28" t="inlineStr">
        <is>
          <t>Selected: all assumptions at Selected</t>
        </is>
      </c>
      <c r="C8" s="76" t="inlineStr">
        <is>
          <t>Scenario</t>
        </is>
      </c>
      <c r="D8" s="184">
        <f>Scenarios!$F$20</f>
        <v>0.92</v>
      </c>
      <c r="E8" s="184">
        <f>Scenarios!$F$21</f>
        <v>0.8</v>
      </c>
      <c r="F8" s="185">
        <f>Scenarios!$F$22</f>
        <v>8</v>
      </c>
      <c r="G8" s="184">
        <f>Scenarios!$F$23</f>
        <v>0.7</v>
      </c>
      <c r="H8" s="137">
        <f>Scenarios!$F$24</f>
        <v>1</v>
      </c>
      <c r="I8" s="186">
        <f>Scenarios!$F$25</f>
        <v>0</v>
      </c>
      <c r="J8" s="187">
        <f>Scenarios!$F$26</f>
        <v>0.216</v>
      </c>
      <c r="K8" s="188">
        <f>Scenarios!$F$27</f>
        <v>130000</v>
      </c>
      <c r="L8" s="189">
        <f>in_MinsToday-(E8*in_ReviewRate*(F8+(1-D8)*in_CatchRate*in_FixMins)+(1-E8)*in_MinsToday)</f>
        <v>24.784</v>
      </c>
      <c r="M8" s="190">
        <f>IF(L8&gt;0,L8*G8,L8)/60*in_HourlyCost</f>
        <v>13.0116</v>
      </c>
      <c r="N8" s="190">
        <f>in_ErrRateToday*in_ErrCostToday-(E8*(1-D8)*(1-in_ReviewRate*in_CatchRate)*in_ErrCostAI+(1-E8)*in_ErrRateToday*in_ErrCostToday)</f>
        <v>4.32</v>
      </c>
      <c r="O8" s="191">
        <f>M8+N8-J8</f>
        <v>17.1156</v>
      </c>
      <c r="P8" s="140">
        <f>Model!D$47*MIN(1,(P$4-$I8&gt;=1)*INDEX(Model!$D$48:$O$48,1,MAX(1,P$4-$I8))*$H8)*$O8-IF(P$4-$I8&gt;=GoLiveQ,1,0)*(in_Platform*3+in_OngoingAnnual/4)-IF(P$4&lt;=in_Spread,$K8/in_Spread,0)</f>
        <v>-65000</v>
      </c>
      <c r="Q8" s="140">
        <f>Model!E$47*MIN(1,(Q$4-$I8&gt;=1)*INDEX(Model!$D$48:$O$48,1,MAX(1,Q$4-$I8))*$H8)*$O8-IF(Q$4-$I8&gt;=GoLiveQ,1,0)*(in_Platform*3+in_OngoingAnnual/4)-IF(Q$4&lt;=in_Spread,$K8/in_Spread,0)</f>
        <v>-77365.32</v>
      </c>
      <c r="R8" s="140">
        <f>Model!F$47*MIN(1,(R$4-$I8&gt;=1)*INDEX(Model!$D$48:$O$48,1,MAX(1,R$4-$I8))*$H8)*$O8-IF(R$4-$I8&gt;=GoLiveQ,1,0)*(in_Platform*3+in_OngoingAnnual/4)-IF(R$4&lt;=in_Spread,$K8/in_Spread,0)</f>
        <v>3038.72</v>
      </c>
      <c r="S8" s="140">
        <f>Model!G$47*MIN(1,(S$4-$I8&gt;=1)*INDEX(Model!$D$48:$O$48,1,MAX(1,S$4-$I8))*$H8)*$O8-IF(S$4-$I8&gt;=GoLiveQ,1,0)*(in_Platform*3+in_OngoingAnnual/4)-IF(S$4&lt;=in_Spread,$K8/in_Spread,0)</f>
        <v>18442.76</v>
      </c>
      <c r="T8" s="140">
        <f>Model!H$47*MIN(1,(T$4-$I8&gt;=1)*INDEX(Model!$D$48:$O$48,1,MAX(1,T$4-$I8))*$H8)*$O8-IF(T$4-$I8&gt;=GoLiveQ,1,0)*(in_Platform*3+in_OngoingAnnual/4)-IF(T$4&lt;=in_Spread,$K8/in_Spread,0)</f>
        <v>30509.258</v>
      </c>
      <c r="U8" s="140">
        <f>Model!I$47*MIN(1,(U$4-$I8&gt;=1)*INDEX(Model!$D$48:$O$48,1,MAX(1,U$4-$I8))*$H8)*$O8-IF(U$4-$I8&gt;=GoLiveQ,1,0)*(in_Platform*3+in_OngoingAnnual/4)-IF(U$4&lt;=in_Spread,$K8/in_Spread,0)</f>
        <v>33333.332</v>
      </c>
      <c r="V8" s="140">
        <f>Model!J$47*MIN(1,(V$4-$I8&gt;=1)*INDEX(Model!$D$48:$O$48,1,MAX(1,V$4-$I8))*$H8)*$O8-IF(V$4-$I8&gt;=GoLiveQ,1,0)*(in_Platform*3+in_OngoingAnnual/4)-IF(V$4&lt;=in_Spread,$K8/in_Spread,0)</f>
        <v>33333.332</v>
      </c>
      <c r="W8" s="140">
        <f>Model!K$47*MIN(1,(W$4-$I8&gt;=1)*INDEX(Model!$D$48:$O$48,1,MAX(1,W$4-$I8))*$H8)*$O8-IF(W$4-$I8&gt;=GoLiveQ,1,0)*(in_Platform*3+in_OngoingAnnual/4)-IF(W$4&lt;=in_Spread,$K8/in_Spread,0)</f>
        <v>33333.332</v>
      </c>
      <c r="X8" s="140">
        <f>Model!L$47*MIN(1,(X$4-$I8&gt;=1)*INDEX(Model!$D$48:$O$48,1,MAX(1,X$4-$I8))*$H8)*$O8-IF(X$4-$I8&gt;=GoLiveQ,1,0)*(in_Platform*3+in_OngoingAnnual/4)-IF(X$4&lt;=in_Spread,$K8/in_Spread,0)</f>
        <v>38416.6652</v>
      </c>
      <c r="Y8" s="140">
        <f>Model!M$47*MIN(1,(Y$4-$I8&gt;=1)*INDEX(Model!$D$48:$O$48,1,MAX(1,Y$4-$I8))*$H8)*$O8-IF(Y$4-$I8&gt;=GoLiveQ,1,0)*(in_Platform*3+in_OngoingAnnual/4)-IF(Y$4&lt;=in_Spread,$K8/in_Spread,0)</f>
        <v>38416.6652</v>
      </c>
      <c r="Z8" s="140">
        <f>Model!N$47*MIN(1,(Z$4-$I8&gt;=1)*INDEX(Model!$D$48:$O$48,1,MAX(1,Z$4-$I8))*$H8)*$O8-IF(Z$4-$I8&gt;=GoLiveQ,1,0)*(in_Platform*3+in_OngoingAnnual/4)-IF(Z$4&lt;=in_Spread,$K8/in_Spread,0)</f>
        <v>38416.6652</v>
      </c>
      <c r="AA8" s="140">
        <f>Model!O$47*MIN(1,(AA$4-$I8&gt;=1)*INDEX(Model!$D$48:$O$48,1,MAX(1,AA$4-$I8))*$H8)*$O8-IF(AA$4-$I8&gt;=GoLiveQ,1,0)*(in_Platform*3+in_OngoingAnnual/4)-IF(AA$4&lt;=in_Spread,$K8/in_Spread,0)</f>
        <v>38416.6652</v>
      </c>
      <c r="AB8" s="192">
        <f>SUMPRODUCT(P8:AA8,Model!$D$50:$O$50)</f>
        <v>113792.449549866</v>
      </c>
      <c r="AC8" s="140">
        <f>SUM(P8:AA8)</f>
        <v>163292.0748</v>
      </c>
    </row>
    <row r="9">
      <c r="B9" s="28" t="inlineStr">
        <is>
          <t>Probe acc + 0.01</t>
        </is>
      </c>
      <c r="C9" s="76" t="inlineStr">
        <is>
          <t>Break-even probe selected</t>
        </is>
      </c>
      <c r="D9" s="193">
        <f>Scenarios!$F$20+0.01</f>
        <v>0.93</v>
      </c>
      <c r="E9" s="184">
        <f>Scenarios!$F$21</f>
        <v>0.8</v>
      </c>
      <c r="F9" s="185">
        <f>Scenarios!$F$22</f>
        <v>8</v>
      </c>
      <c r="G9" s="184">
        <f>Scenarios!$F$23</f>
        <v>0.7</v>
      </c>
      <c r="H9" s="137">
        <f>Scenarios!$F$24</f>
        <v>1</v>
      </c>
      <c r="I9" s="186">
        <f>Scenarios!$F$25</f>
        <v>0</v>
      </c>
      <c r="J9" s="187">
        <f>Scenarios!$F$26</f>
        <v>0.216</v>
      </c>
      <c r="K9" s="188">
        <f>Scenarios!$F$27</f>
        <v>130000</v>
      </c>
      <c r="L9" s="189">
        <f>in_MinsToday-(E9*in_ReviewRate*(F9+(1-D9)*in_CatchRate*in_FixMins)+(1-E9)*in_MinsToday)</f>
        <v>24.886</v>
      </c>
      <c r="M9" s="190">
        <f>IF(L9&gt;0,L9*G9,L9)/60*in_HourlyCost</f>
        <v>13.06515</v>
      </c>
      <c r="N9" s="190">
        <f>in_ErrRateToday*in_ErrCostToday-(E9*(1-D9)*(1-in_ReviewRate*in_CatchRate)*in_ErrCostAI+(1-E9)*in_ErrRateToday*in_ErrCostToday)</f>
        <v>4.68</v>
      </c>
      <c r="O9" s="191">
        <f>M9+N9-J9</f>
        <v>17.52915</v>
      </c>
      <c r="P9" s="140">
        <f>Model!D$47*MIN(1,(P$4-$I9&gt;=1)*INDEX(Model!$D$48:$O$48,1,MAX(1,P$4-$I9))*$H9)*$O9-IF(P$4-$I9&gt;=GoLiveQ,1,0)*(in_Platform*3+in_OngoingAnnual/4)-IF(P$4&lt;=in_Spread,$K9/in_Spread,0)</f>
        <v>-65000</v>
      </c>
      <c r="Q9" s="140">
        <f>Model!E$47*MIN(1,(Q$4-$I9&gt;=1)*INDEX(Model!$D$48:$O$48,1,MAX(1,Q$4-$I9))*$H9)*$O9-IF(Q$4-$I9&gt;=GoLiveQ,1,0)*(in_Platform*3+in_OngoingAnnual/4)-IF(Q$4&lt;=in_Spread,$K9/in_Spread,0)</f>
        <v>-77241.255</v>
      </c>
      <c r="R9" s="140">
        <f>Model!F$47*MIN(1,(R$4-$I9&gt;=1)*INDEX(Model!$D$48:$O$48,1,MAX(1,R$4-$I9))*$H9)*$O9-IF(R$4-$I9&gt;=GoLiveQ,1,0)*(in_Platform*3+in_OngoingAnnual/4)-IF(R$4&lt;=in_Spread,$K9/in_Spread,0)</f>
        <v>3534.98</v>
      </c>
      <c r="S9" s="140">
        <f>Model!G$47*MIN(1,(S$4-$I9&gt;=1)*INDEX(Model!$D$48:$O$48,1,MAX(1,S$4-$I9))*$H9)*$O9-IF(S$4-$I9&gt;=GoLiveQ,1,0)*(in_Platform*3+in_OngoingAnnual/4)-IF(S$4&lt;=in_Spread,$K9/in_Spread,0)</f>
        <v>19311.215</v>
      </c>
      <c r="T9" s="140">
        <f>Model!H$47*MIN(1,(T$4-$I9&gt;=1)*INDEX(Model!$D$48:$O$48,1,MAX(1,T$4-$I9))*$H9)*$O9-IF(T$4-$I9&gt;=GoLiveQ,1,0)*(in_Platform*3+in_OngoingAnnual/4)-IF(T$4&lt;=in_Spread,$K9/in_Spread,0)</f>
        <v>31669.26575</v>
      </c>
      <c r="U9" s="140">
        <f>Model!I$47*MIN(1,(U$4-$I9&gt;=1)*INDEX(Model!$D$48:$O$48,1,MAX(1,U$4-$I9))*$H9)*$O9-IF(U$4-$I9&gt;=GoLiveQ,1,0)*(in_Platform*3+in_OngoingAnnual/4)-IF(U$4&lt;=in_Spread,$K9/in_Spread,0)</f>
        <v>34561.5755</v>
      </c>
      <c r="V9" s="140">
        <f>Model!J$47*MIN(1,(V$4-$I9&gt;=1)*INDEX(Model!$D$48:$O$48,1,MAX(1,V$4-$I9))*$H9)*$O9-IF(V$4-$I9&gt;=GoLiveQ,1,0)*(in_Platform*3+in_OngoingAnnual/4)-IF(V$4&lt;=in_Spread,$K9/in_Spread,0)</f>
        <v>34561.5755</v>
      </c>
      <c r="W9" s="140">
        <f>Model!K$47*MIN(1,(W$4-$I9&gt;=1)*INDEX(Model!$D$48:$O$48,1,MAX(1,W$4-$I9))*$H9)*$O9-IF(W$4-$I9&gt;=GoLiveQ,1,0)*(in_Platform*3+in_OngoingAnnual/4)-IF(W$4&lt;=in_Spread,$K9/in_Spread,0)</f>
        <v>34561.5755</v>
      </c>
      <c r="X9" s="140">
        <f>Model!L$47*MIN(1,(X$4-$I9&gt;=1)*INDEX(Model!$D$48:$O$48,1,MAX(1,X$4-$I9))*$H9)*$O9-IF(X$4-$I9&gt;=GoLiveQ,1,0)*(in_Platform*3+in_OngoingAnnual/4)-IF(X$4&lt;=in_Spread,$K9/in_Spread,0)</f>
        <v>39767.73305</v>
      </c>
      <c r="Y9" s="140">
        <f>Model!M$47*MIN(1,(Y$4-$I9&gt;=1)*INDEX(Model!$D$48:$O$48,1,MAX(1,Y$4-$I9))*$H9)*$O9-IF(Y$4-$I9&gt;=GoLiveQ,1,0)*(in_Platform*3+in_OngoingAnnual/4)-IF(Y$4&lt;=in_Spread,$K9/in_Spread,0)</f>
        <v>39767.73305</v>
      </c>
      <c r="Z9" s="140">
        <f>Model!N$47*MIN(1,(Z$4-$I9&gt;=1)*INDEX(Model!$D$48:$O$48,1,MAX(1,Z$4-$I9))*$H9)*$O9-IF(Z$4-$I9&gt;=GoLiveQ,1,0)*(in_Platform*3+in_OngoingAnnual/4)-IF(Z$4&lt;=in_Spread,$K9/in_Spread,0)</f>
        <v>39767.73305</v>
      </c>
      <c r="AA9" s="140">
        <f>Model!O$47*MIN(1,(AA$4-$I9&gt;=1)*INDEX(Model!$D$48:$O$48,1,MAX(1,AA$4-$I9))*$H9)*$O9-IF(AA$4-$I9&gt;=GoLiveQ,1,0)*(in_Platform*3+in_OngoingAnnual/4)-IF(AA$4&lt;=in_Spread,$K9/in_Spread,0)</f>
        <v>39767.73305</v>
      </c>
      <c r="AB9" s="192">
        <f>SUMPRODUCT(P9:AA9,Model!$D$50:$O$50)</f>
        <v>123520.793415185</v>
      </c>
      <c r="AC9" s="140">
        <f>SUM(P9:AA9)</f>
        <v>175029.86445</v>
      </c>
    </row>
    <row r="10">
      <c r="B10" s="28" t="inlineStr">
        <is>
          <t>Probe h + 0.01</t>
        </is>
      </c>
      <c r="C10" s="76" t="inlineStr">
        <is>
          <t>Break-even probe selected</t>
        </is>
      </c>
      <c r="D10" s="184">
        <f>Scenarios!$F$20</f>
        <v>0.92</v>
      </c>
      <c r="E10" s="193">
        <f>Scenarios!$F$21+0.01</f>
        <v>0.81</v>
      </c>
      <c r="F10" s="185">
        <f>Scenarios!$F$22</f>
        <v>8</v>
      </c>
      <c r="G10" s="184">
        <f>Scenarios!$F$23</f>
        <v>0.7</v>
      </c>
      <c r="H10" s="137">
        <f>Scenarios!$F$24</f>
        <v>1</v>
      </c>
      <c r="I10" s="186">
        <f>Scenarios!$F$25</f>
        <v>0</v>
      </c>
      <c r="J10" s="187">
        <f>Scenarios!$F$26</f>
        <v>0.216</v>
      </c>
      <c r="K10" s="188">
        <f>Scenarios!$F$27</f>
        <v>130000</v>
      </c>
      <c r="L10" s="189">
        <f>in_MinsToday-(E10*in_ReviewRate*(F10+(1-D10)*in_CatchRate*in_FixMins)+(1-E10)*in_MinsToday)</f>
        <v>25.0938</v>
      </c>
      <c r="M10" s="190">
        <f>IF(L10&gt;0,L10*G10,L10)/60*in_HourlyCost</f>
        <v>13.174245</v>
      </c>
      <c r="N10" s="190">
        <f>in_ErrRateToday*in_ErrCostToday-(E10*(1-D10)*(1-in_ReviewRate*in_CatchRate)*in_ErrCostAI+(1-E10)*in_ErrRateToday*in_ErrCostToday)</f>
        <v>4.374</v>
      </c>
      <c r="O10" s="191">
        <f>M10+N10-J10</f>
        <v>17.332245</v>
      </c>
      <c r="P10" s="140">
        <f>Model!D$47*MIN(1,(P$4-$I10&gt;=1)*INDEX(Model!$D$48:$O$48,1,MAX(1,P$4-$I10))*$H10)*$O10-IF(P$4-$I10&gt;=GoLiveQ,1,0)*(in_Platform*3+in_OngoingAnnual/4)-IF(P$4&lt;=in_Spread,$K10/in_Spread,0)</f>
        <v>-65000</v>
      </c>
      <c r="Q10" s="140">
        <f>Model!E$47*MIN(1,(Q$4-$I10&gt;=1)*INDEX(Model!$D$48:$O$48,1,MAX(1,Q$4-$I10))*$H10)*$O10-IF(Q$4-$I10&gt;=GoLiveQ,1,0)*(in_Platform*3+in_OngoingAnnual/4)-IF(Q$4&lt;=in_Spread,$K10/in_Spread,0)</f>
        <v>-77300.3265</v>
      </c>
      <c r="R10" s="140">
        <f>Model!F$47*MIN(1,(R$4-$I10&gt;=1)*INDEX(Model!$D$48:$O$48,1,MAX(1,R$4-$I10))*$H10)*$O10-IF(R$4-$I10&gt;=GoLiveQ,1,0)*(in_Platform*3+in_OngoingAnnual/4)-IF(R$4&lt;=in_Spread,$K10/in_Spread,0)</f>
        <v>3298.694</v>
      </c>
      <c r="S10" s="140">
        <f>Model!G$47*MIN(1,(S$4-$I10&gt;=1)*INDEX(Model!$D$48:$O$48,1,MAX(1,S$4-$I10))*$H10)*$O10-IF(S$4-$I10&gt;=GoLiveQ,1,0)*(in_Platform*3+in_OngoingAnnual/4)-IF(S$4&lt;=in_Spread,$K10/in_Spread,0)</f>
        <v>18897.7145</v>
      </c>
      <c r="T10" s="140">
        <f>Model!H$47*MIN(1,(T$4-$I10&gt;=1)*INDEX(Model!$D$48:$O$48,1,MAX(1,T$4-$I10))*$H10)*$O10-IF(T$4-$I10&gt;=GoLiveQ,1,0)*(in_Platform*3+in_OngoingAnnual/4)-IF(T$4&lt;=in_Spread,$K10/in_Spread,0)</f>
        <v>31116.947225</v>
      </c>
      <c r="U10" s="140">
        <f>Model!I$47*MIN(1,(U$4-$I10&gt;=1)*INDEX(Model!$D$48:$O$48,1,MAX(1,U$4-$I10))*$H10)*$O10-IF(U$4-$I10&gt;=GoLiveQ,1,0)*(in_Platform*3+in_OngoingAnnual/4)-IF(U$4&lt;=in_Spread,$K10/in_Spread,0)</f>
        <v>33976.76765</v>
      </c>
      <c r="V10" s="140">
        <f>Model!J$47*MIN(1,(V$4-$I10&gt;=1)*INDEX(Model!$D$48:$O$48,1,MAX(1,V$4-$I10))*$H10)*$O10-IF(V$4-$I10&gt;=GoLiveQ,1,0)*(in_Platform*3+in_OngoingAnnual/4)-IF(V$4&lt;=in_Spread,$K10/in_Spread,0)</f>
        <v>33976.76765</v>
      </c>
      <c r="W10" s="140">
        <f>Model!K$47*MIN(1,(W$4-$I10&gt;=1)*INDEX(Model!$D$48:$O$48,1,MAX(1,W$4-$I10))*$H10)*$O10-IF(W$4-$I10&gt;=GoLiveQ,1,0)*(in_Platform*3+in_OngoingAnnual/4)-IF(W$4&lt;=in_Spread,$K10/in_Spread,0)</f>
        <v>33976.76765</v>
      </c>
      <c r="X10" s="140">
        <f>Model!L$47*MIN(1,(X$4-$I10&gt;=1)*INDEX(Model!$D$48:$O$48,1,MAX(1,X$4-$I10))*$H10)*$O10-IF(X$4-$I10&gt;=GoLiveQ,1,0)*(in_Platform*3+in_OngoingAnnual/4)-IF(X$4&lt;=in_Spread,$K10/in_Spread,0)</f>
        <v>39124.444415</v>
      </c>
      <c r="Y10" s="140">
        <f>Model!M$47*MIN(1,(Y$4-$I10&gt;=1)*INDEX(Model!$D$48:$O$48,1,MAX(1,Y$4-$I10))*$H10)*$O10-IF(Y$4-$I10&gt;=GoLiveQ,1,0)*(in_Platform*3+in_OngoingAnnual/4)-IF(Y$4&lt;=in_Spread,$K10/in_Spread,0)</f>
        <v>39124.444415</v>
      </c>
      <c r="Z10" s="140">
        <f>Model!N$47*MIN(1,(Z$4-$I10&gt;=1)*INDEX(Model!$D$48:$O$48,1,MAX(1,Z$4-$I10))*$H10)*$O10-IF(Z$4-$I10&gt;=GoLiveQ,1,0)*(in_Platform*3+in_OngoingAnnual/4)-IF(Z$4&lt;=in_Spread,$K10/in_Spread,0)</f>
        <v>39124.444415</v>
      </c>
      <c r="AA10" s="140">
        <f>Model!O$47*MIN(1,(AA$4-$I10&gt;=1)*INDEX(Model!$D$48:$O$48,1,MAX(1,AA$4-$I10))*$H10)*$O10-IF(AA$4-$I10&gt;=GoLiveQ,1,0)*(in_Platform*3+in_OngoingAnnual/4)-IF(AA$4&lt;=in_Spread,$K10/in_Spread,0)</f>
        <v>39124.444415</v>
      </c>
      <c r="AB10" s="192">
        <f>SUMPRODUCT(P10:AA10,Model!$D$50:$O$50)</f>
        <v>118888.803211338</v>
      </c>
      <c r="AC10" s="140">
        <f>SUM(P10:AA10)</f>
        <v>169441.109835</v>
      </c>
    </row>
    <row r="11">
      <c r="B11" s="28" t="inlineStr">
        <is>
          <t>Probe m1 + 1</t>
        </is>
      </c>
      <c r="C11" s="76" t="inlineStr">
        <is>
          <t>Break-even probe selected</t>
        </is>
      </c>
      <c r="D11" s="184">
        <f>Scenarios!$F$20</f>
        <v>0.92</v>
      </c>
      <c r="E11" s="184">
        <f>Scenarios!$F$21</f>
        <v>0.8</v>
      </c>
      <c r="F11" s="194">
        <f>Scenarios!$F$22+1</f>
        <v>9</v>
      </c>
      <c r="G11" s="184">
        <f>Scenarios!$F$23</f>
        <v>0.7</v>
      </c>
      <c r="H11" s="137">
        <f>Scenarios!$F$24</f>
        <v>1</v>
      </c>
      <c r="I11" s="186">
        <f>Scenarios!$F$25</f>
        <v>0</v>
      </c>
      <c r="J11" s="187">
        <f>Scenarios!$F$26</f>
        <v>0.216</v>
      </c>
      <c r="K11" s="188">
        <f>Scenarios!$F$27</f>
        <v>130000</v>
      </c>
      <c r="L11" s="189">
        <f>in_MinsToday-(E11*in_ReviewRate*(F11+(1-D11)*in_CatchRate*in_FixMins)+(1-E11)*in_MinsToday)</f>
        <v>23.984</v>
      </c>
      <c r="M11" s="190">
        <f>IF(L11&gt;0,L11*G11,L11)/60*in_HourlyCost</f>
        <v>12.5916</v>
      </c>
      <c r="N11" s="190">
        <f>in_ErrRateToday*in_ErrCostToday-(E11*(1-D11)*(1-in_ReviewRate*in_CatchRate)*in_ErrCostAI+(1-E11)*in_ErrRateToday*in_ErrCostToday)</f>
        <v>4.32</v>
      </c>
      <c r="O11" s="191">
        <f>M11+N11-J11</f>
        <v>16.6956</v>
      </c>
      <c r="P11" s="140">
        <f>Model!D$47*MIN(1,(P$4-$I11&gt;=1)*INDEX(Model!$D$48:$O$48,1,MAX(1,P$4-$I11))*$H11)*$O11-IF(P$4-$I11&gt;=GoLiveQ,1,0)*(in_Platform*3+in_OngoingAnnual/4)-IF(P$4&lt;=in_Spread,$K11/in_Spread,0)</f>
        <v>-65000</v>
      </c>
      <c r="Q11" s="140">
        <f>Model!E$47*MIN(1,(Q$4-$I11&gt;=1)*INDEX(Model!$D$48:$O$48,1,MAX(1,Q$4-$I11))*$H11)*$O11-IF(Q$4-$I11&gt;=GoLiveQ,1,0)*(in_Platform*3+in_OngoingAnnual/4)-IF(Q$4&lt;=in_Spread,$K11/in_Spread,0)</f>
        <v>-77491.32</v>
      </c>
      <c r="R11" s="140">
        <f>Model!F$47*MIN(1,(R$4-$I11&gt;=1)*INDEX(Model!$D$48:$O$48,1,MAX(1,R$4-$I11))*$H11)*$O11-IF(R$4-$I11&gt;=GoLiveQ,1,0)*(in_Platform*3+in_OngoingAnnual/4)-IF(R$4&lt;=in_Spread,$K11/in_Spread,0)</f>
        <v>2534.72</v>
      </c>
      <c r="S11" s="140">
        <f>Model!G$47*MIN(1,(S$4-$I11&gt;=1)*INDEX(Model!$D$48:$O$48,1,MAX(1,S$4-$I11))*$H11)*$O11-IF(S$4-$I11&gt;=GoLiveQ,1,0)*(in_Platform*3+in_OngoingAnnual/4)-IF(S$4&lt;=in_Spread,$K11/in_Spread,0)</f>
        <v>17560.76</v>
      </c>
      <c r="T11" s="140">
        <f>Model!H$47*MIN(1,(T$4-$I11&gt;=1)*INDEX(Model!$D$48:$O$48,1,MAX(1,T$4-$I11))*$H11)*$O11-IF(T$4-$I11&gt;=GoLiveQ,1,0)*(in_Platform*3+in_OngoingAnnual/4)-IF(T$4&lt;=in_Spread,$K11/in_Spread,0)</f>
        <v>29331.158</v>
      </c>
      <c r="U11" s="140">
        <f>Model!I$47*MIN(1,(U$4-$I11&gt;=1)*INDEX(Model!$D$48:$O$48,1,MAX(1,U$4-$I11))*$H11)*$O11-IF(U$4-$I11&gt;=GoLiveQ,1,0)*(in_Platform*3+in_OngoingAnnual/4)-IF(U$4&lt;=in_Spread,$K11/in_Spread,0)</f>
        <v>32085.932</v>
      </c>
      <c r="V11" s="140">
        <f>Model!J$47*MIN(1,(V$4-$I11&gt;=1)*INDEX(Model!$D$48:$O$48,1,MAX(1,V$4-$I11))*$H11)*$O11-IF(V$4-$I11&gt;=GoLiveQ,1,0)*(in_Platform*3+in_OngoingAnnual/4)-IF(V$4&lt;=in_Spread,$K11/in_Spread,0)</f>
        <v>32085.932</v>
      </c>
      <c r="W11" s="140">
        <f>Model!K$47*MIN(1,(W$4-$I11&gt;=1)*INDEX(Model!$D$48:$O$48,1,MAX(1,W$4-$I11))*$H11)*$O11-IF(W$4-$I11&gt;=GoLiveQ,1,0)*(in_Platform*3+in_OngoingAnnual/4)-IF(W$4&lt;=in_Spread,$K11/in_Spread,0)</f>
        <v>32085.932</v>
      </c>
      <c r="X11" s="140">
        <f>Model!L$47*MIN(1,(X$4-$I11&gt;=1)*INDEX(Model!$D$48:$O$48,1,MAX(1,X$4-$I11))*$H11)*$O11-IF(X$4-$I11&gt;=GoLiveQ,1,0)*(in_Platform*3+in_OngoingAnnual/4)-IF(X$4&lt;=in_Spread,$K11/in_Spread,0)</f>
        <v>37044.5252</v>
      </c>
      <c r="Y11" s="140">
        <f>Model!M$47*MIN(1,(Y$4-$I11&gt;=1)*INDEX(Model!$D$48:$O$48,1,MAX(1,Y$4-$I11))*$H11)*$O11-IF(Y$4-$I11&gt;=GoLiveQ,1,0)*(in_Platform*3+in_OngoingAnnual/4)-IF(Y$4&lt;=in_Spread,$K11/in_Spread,0)</f>
        <v>37044.5252</v>
      </c>
      <c r="Z11" s="140">
        <f>Model!N$47*MIN(1,(Z$4-$I11&gt;=1)*INDEX(Model!$D$48:$O$48,1,MAX(1,Z$4-$I11))*$H11)*$O11-IF(Z$4-$I11&gt;=GoLiveQ,1,0)*(in_Platform*3+in_OngoingAnnual/4)-IF(Z$4&lt;=in_Spread,$K11/in_Spread,0)</f>
        <v>37044.5252</v>
      </c>
      <c r="AA11" s="140">
        <f>Model!O$47*MIN(1,(AA$4-$I11&gt;=1)*INDEX(Model!$D$48:$O$48,1,MAX(1,AA$4-$I11))*$H11)*$O11-IF(AA$4-$I11&gt;=GoLiveQ,1,0)*(in_Platform*3+in_OngoingAnnual/4)-IF(AA$4&lt;=in_Spread,$K11/in_Spread,0)</f>
        <v>37044.5252</v>
      </c>
      <c r="AB11" s="192">
        <f>SUMPRODUCT(P11:AA11,Model!$D$50:$O$50)</f>
        <v>103912.375983346</v>
      </c>
      <c r="AC11" s="140">
        <f>SUM(P11:AA11)</f>
        <v>151371.2148</v>
      </c>
    </row>
    <row r="12">
      <c r="B12" s="28" t="inlineStr">
        <is>
          <t>Probe rho + 0.01</t>
        </is>
      </c>
      <c r="C12" s="76" t="inlineStr">
        <is>
          <t>Break-even probe selected</t>
        </is>
      </c>
      <c r="D12" s="184">
        <f>Scenarios!$F$20</f>
        <v>0.92</v>
      </c>
      <c r="E12" s="184">
        <f>Scenarios!$F$21</f>
        <v>0.8</v>
      </c>
      <c r="F12" s="185">
        <f>Scenarios!$F$22</f>
        <v>8</v>
      </c>
      <c r="G12" s="193">
        <f>Scenarios!$F$23+0.01</f>
        <v>0.71</v>
      </c>
      <c r="H12" s="137">
        <f>Scenarios!$F$24</f>
        <v>1</v>
      </c>
      <c r="I12" s="186">
        <f>Scenarios!$F$25</f>
        <v>0</v>
      </c>
      <c r="J12" s="187">
        <f>Scenarios!$F$26</f>
        <v>0.216</v>
      </c>
      <c r="K12" s="188">
        <f>Scenarios!$F$27</f>
        <v>130000</v>
      </c>
      <c r="L12" s="189">
        <f>in_MinsToday-(E12*in_ReviewRate*(F12+(1-D12)*in_CatchRate*in_FixMins)+(1-E12)*in_MinsToday)</f>
        <v>24.784</v>
      </c>
      <c r="M12" s="190">
        <f>IF(L12&gt;0,L12*G12,L12)/60*in_HourlyCost</f>
        <v>13.19748</v>
      </c>
      <c r="N12" s="190">
        <f>in_ErrRateToday*in_ErrCostToday-(E12*(1-D12)*(1-in_ReviewRate*in_CatchRate)*in_ErrCostAI+(1-E12)*in_ErrRateToday*in_ErrCostToday)</f>
        <v>4.32</v>
      </c>
      <c r="O12" s="191">
        <f>M12+N12-J12</f>
        <v>17.30148</v>
      </c>
      <c r="P12" s="140">
        <f>Model!D$47*MIN(1,(P$4-$I12&gt;=1)*INDEX(Model!$D$48:$O$48,1,MAX(1,P$4-$I12))*$H12)*$O12-IF(P$4-$I12&gt;=GoLiveQ,1,0)*(in_Platform*3+in_OngoingAnnual/4)-IF(P$4&lt;=in_Spread,$K12/in_Spread,0)</f>
        <v>-65000</v>
      </c>
      <c r="Q12" s="140">
        <f>Model!E$47*MIN(1,(Q$4-$I12&gt;=1)*INDEX(Model!$D$48:$O$48,1,MAX(1,Q$4-$I12))*$H12)*$O12-IF(Q$4-$I12&gt;=GoLiveQ,1,0)*(in_Platform*3+in_OngoingAnnual/4)-IF(Q$4&lt;=in_Spread,$K12/in_Spread,0)</f>
        <v>-77309.556</v>
      </c>
      <c r="R12" s="140">
        <f>Model!F$47*MIN(1,(R$4-$I12&gt;=1)*INDEX(Model!$D$48:$O$48,1,MAX(1,R$4-$I12))*$H12)*$O12-IF(R$4-$I12&gt;=GoLiveQ,1,0)*(in_Platform*3+in_OngoingAnnual/4)-IF(R$4&lt;=in_Spread,$K12/in_Spread,0)</f>
        <v>3261.776</v>
      </c>
      <c r="S12" s="140">
        <f>Model!G$47*MIN(1,(S$4-$I12&gt;=1)*INDEX(Model!$D$48:$O$48,1,MAX(1,S$4-$I12))*$H12)*$O12-IF(S$4-$I12&gt;=GoLiveQ,1,0)*(in_Platform*3+in_OngoingAnnual/4)-IF(S$4&lt;=in_Spread,$K12/in_Spread,0)</f>
        <v>18833.108</v>
      </c>
      <c r="T12" s="140">
        <f>Model!H$47*MIN(1,(T$4-$I12&gt;=1)*INDEX(Model!$D$48:$O$48,1,MAX(1,T$4-$I12))*$H12)*$O12-IF(T$4-$I12&gt;=GoLiveQ,1,0)*(in_Platform*3+in_OngoingAnnual/4)-IF(T$4&lt;=in_Spread,$K12/in_Spread,0)</f>
        <v>31030.6514</v>
      </c>
      <c r="U12" s="140">
        <f>Model!I$47*MIN(1,(U$4-$I12&gt;=1)*INDEX(Model!$D$48:$O$48,1,MAX(1,U$4-$I12))*$H12)*$O12-IF(U$4-$I12&gt;=GoLiveQ,1,0)*(in_Platform*3+in_OngoingAnnual/4)-IF(U$4&lt;=in_Spread,$K12/in_Spread,0)</f>
        <v>33885.3956</v>
      </c>
      <c r="V12" s="140">
        <f>Model!J$47*MIN(1,(V$4-$I12&gt;=1)*INDEX(Model!$D$48:$O$48,1,MAX(1,V$4-$I12))*$H12)*$O12-IF(V$4-$I12&gt;=GoLiveQ,1,0)*(in_Platform*3+in_OngoingAnnual/4)-IF(V$4&lt;=in_Spread,$K12/in_Spread,0)</f>
        <v>33885.3956</v>
      </c>
      <c r="W12" s="140">
        <f>Model!K$47*MIN(1,(W$4-$I12&gt;=1)*INDEX(Model!$D$48:$O$48,1,MAX(1,W$4-$I12))*$H12)*$O12-IF(W$4-$I12&gt;=GoLiveQ,1,0)*(in_Platform*3+in_OngoingAnnual/4)-IF(W$4&lt;=in_Spread,$K12/in_Spread,0)</f>
        <v>33885.3956</v>
      </c>
      <c r="X12" s="140">
        <f>Model!L$47*MIN(1,(X$4-$I12&gt;=1)*INDEX(Model!$D$48:$O$48,1,MAX(1,X$4-$I12))*$H12)*$O12-IF(X$4-$I12&gt;=GoLiveQ,1,0)*(in_Platform*3+in_OngoingAnnual/4)-IF(X$4&lt;=in_Spread,$K12/in_Spread,0)</f>
        <v>39023.93516</v>
      </c>
      <c r="Y12" s="140">
        <f>Model!M$47*MIN(1,(Y$4-$I12&gt;=1)*INDEX(Model!$D$48:$O$48,1,MAX(1,Y$4-$I12))*$H12)*$O12-IF(Y$4-$I12&gt;=GoLiveQ,1,0)*(in_Platform*3+in_OngoingAnnual/4)-IF(Y$4&lt;=in_Spread,$K12/in_Spread,0)</f>
        <v>39023.93516</v>
      </c>
      <c r="Z12" s="140">
        <f>Model!N$47*MIN(1,(Z$4-$I12&gt;=1)*INDEX(Model!$D$48:$O$48,1,MAX(1,Z$4-$I12))*$H12)*$O12-IF(Z$4-$I12&gt;=GoLiveQ,1,0)*(in_Platform*3+in_OngoingAnnual/4)-IF(Z$4&lt;=in_Spread,$K12/in_Spread,0)</f>
        <v>39023.93516</v>
      </c>
      <c r="AA12" s="140">
        <f>Model!O$47*MIN(1,(AA$4-$I12&gt;=1)*INDEX(Model!$D$48:$O$48,1,MAX(1,AA$4-$I12))*$H12)*$O12-IF(AA$4-$I12&gt;=GoLiveQ,1,0)*(in_Platform*3+in_OngoingAnnual/4)-IF(AA$4&lt;=in_Spread,$K12/in_Spread,0)</f>
        <v>39023.93516</v>
      </c>
      <c r="AB12" s="192">
        <f>SUMPRODUCT(P12:AA12,Model!$D$50:$O$50)</f>
        <v>118165.087822591</v>
      </c>
      <c r="AC12" s="140">
        <f>SUM(P12:AA12)</f>
        <v>168567.90684</v>
      </c>
    </row>
    <row r="13">
      <c r="B13" s="28" t="inlineStr">
        <is>
          <t>Probe am + 0.01</t>
        </is>
      </c>
      <c r="C13" s="76" t="inlineStr">
        <is>
          <t>Break-even probe selected</t>
        </is>
      </c>
      <c r="D13" s="184">
        <f>Scenarios!$F$20</f>
        <v>0.92</v>
      </c>
      <c r="E13" s="184">
        <f>Scenarios!$F$21</f>
        <v>0.8</v>
      </c>
      <c r="F13" s="185">
        <f>Scenarios!$F$22</f>
        <v>8</v>
      </c>
      <c r="G13" s="184">
        <f>Scenarios!$F$23</f>
        <v>0.7</v>
      </c>
      <c r="H13" s="138">
        <f>Scenarios!$F$24+0.01</f>
        <v>1.01</v>
      </c>
      <c r="I13" s="186">
        <f>Scenarios!$F$25</f>
        <v>0</v>
      </c>
      <c r="J13" s="187">
        <f>Scenarios!$F$26</f>
        <v>0.216</v>
      </c>
      <c r="K13" s="188">
        <f>Scenarios!$F$27</f>
        <v>130000</v>
      </c>
      <c r="L13" s="189">
        <f>in_MinsToday-(E13*in_ReviewRate*(F13+(1-D13)*in_CatchRate*in_FixMins)+(1-E13)*in_MinsToday)</f>
        <v>24.784</v>
      </c>
      <c r="M13" s="190">
        <f>IF(L13&gt;0,L13*G13,L13)/60*in_HourlyCost</f>
        <v>13.0116</v>
      </c>
      <c r="N13" s="190">
        <f>in_ErrRateToday*in_ErrCostToday-(E13*(1-D13)*(1-in_ReviewRate*in_CatchRate)*in_ErrCostAI+(1-E13)*in_ErrRateToday*in_ErrCostToday)</f>
        <v>4.32</v>
      </c>
      <c r="O13" s="191">
        <f>M13+N13-J13</f>
        <v>17.1156</v>
      </c>
      <c r="P13" s="140">
        <f>Model!D$47*MIN(1,(P$4-$I13&gt;=1)*INDEX(Model!$D$48:$O$48,1,MAX(1,P$4-$I13))*$H13)*$O13-IF(P$4-$I13&gt;=GoLiveQ,1,0)*(in_Platform*3+in_OngoingAnnual/4)-IF(P$4&lt;=in_Spread,$K13/in_Spread,0)</f>
        <v>-65000</v>
      </c>
      <c r="Q13" s="140">
        <f>Model!E$47*MIN(1,(Q$4-$I13&gt;=1)*INDEX(Model!$D$48:$O$48,1,MAX(1,Q$4-$I13))*$H13)*$O13-IF(Q$4-$I13&gt;=GoLiveQ,1,0)*(in_Platform*3+in_OngoingAnnual/4)-IF(Q$4&lt;=in_Spread,$K13/in_Spread,0)</f>
        <v>-77313.9732</v>
      </c>
      <c r="R13" s="140">
        <f>Model!F$47*MIN(1,(R$4-$I13&gt;=1)*INDEX(Model!$D$48:$O$48,1,MAX(1,R$4-$I13))*$H13)*$O13-IF(R$4-$I13&gt;=GoLiveQ,1,0)*(in_Platform*3+in_OngoingAnnual/4)-IF(R$4&lt;=in_Spread,$K13/in_Spread,0)</f>
        <v>3244.1072</v>
      </c>
      <c r="S13" s="140">
        <f>Model!G$47*MIN(1,(S$4-$I13&gt;=1)*INDEX(Model!$D$48:$O$48,1,MAX(1,S$4-$I13))*$H13)*$O13-IF(S$4-$I13&gt;=GoLiveQ,1,0)*(in_Platform*3+in_OngoingAnnual/4)-IF(S$4&lt;=in_Spread,$K13/in_Spread,0)</f>
        <v>18802.1876</v>
      </c>
      <c r="T13" s="140">
        <f>Model!H$47*MIN(1,(T$4-$I13&gt;=1)*INDEX(Model!$D$48:$O$48,1,MAX(1,T$4-$I13))*$H13)*$O13-IF(T$4-$I13&gt;=GoLiveQ,1,0)*(in_Platform*3+in_OngoingAnnual/4)-IF(T$4&lt;=in_Spread,$K13/in_Spread,0)</f>
        <v>30989.35058</v>
      </c>
      <c r="U13" s="140">
        <f>Model!I$47*MIN(1,(U$4-$I13&gt;=1)*INDEX(Model!$D$48:$O$48,1,MAX(1,U$4-$I13))*$H13)*$O13-IF(U$4-$I13&gt;=GoLiveQ,1,0)*(in_Platform*3+in_OngoingAnnual/4)-IF(U$4&lt;=in_Spread,$K13/in_Spread,0)</f>
        <v>33841.66532</v>
      </c>
      <c r="V13" s="140">
        <f>Model!J$47*MIN(1,(V$4-$I13&gt;=1)*INDEX(Model!$D$48:$O$48,1,MAX(1,V$4-$I13))*$H13)*$O13-IF(V$4-$I13&gt;=GoLiveQ,1,0)*(in_Platform*3+in_OngoingAnnual/4)-IF(V$4&lt;=in_Spread,$K13/in_Spread,0)</f>
        <v>33841.66532</v>
      </c>
      <c r="W13" s="140">
        <f>Model!K$47*MIN(1,(W$4-$I13&gt;=1)*INDEX(Model!$D$48:$O$48,1,MAX(1,W$4-$I13))*$H13)*$O13-IF(W$4-$I13&gt;=GoLiveQ,1,0)*(in_Platform*3+in_OngoingAnnual/4)-IF(W$4&lt;=in_Spread,$K13/in_Spread,0)</f>
        <v>33841.66532</v>
      </c>
      <c r="X13" s="140">
        <f>Model!L$47*MIN(1,(X$4-$I13&gt;=1)*INDEX(Model!$D$48:$O$48,1,MAX(1,X$4-$I13))*$H13)*$O13-IF(X$4-$I13&gt;=GoLiveQ,1,0)*(in_Platform*3+in_OngoingAnnual/4)-IF(X$4&lt;=in_Spread,$K13/in_Spread,0)</f>
        <v>38975.831852</v>
      </c>
      <c r="Y13" s="140">
        <f>Model!M$47*MIN(1,(Y$4-$I13&gt;=1)*INDEX(Model!$D$48:$O$48,1,MAX(1,Y$4-$I13))*$H13)*$O13-IF(Y$4-$I13&gt;=GoLiveQ,1,0)*(in_Platform*3+in_OngoingAnnual/4)-IF(Y$4&lt;=in_Spread,$K13/in_Spread,0)</f>
        <v>38975.831852</v>
      </c>
      <c r="Z13" s="140">
        <f>Model!N$47*MIN(1,(Z$4-$I13&gt;=1)*INDEX(Model!$D$48:$O$48,1,MAX(1,Z$4-$I13))*$H13)*$O13-IF(Z$4-$I13&gt;=GoLiveQ,1,0)*(in_Platform*3+in_OngoingAnnual/4)-IF(Z$4&lt;=in_Spread,$K13/in_Spread,0)</f>
        <v>38975.831852</v>
      </c>
      <c r="AA13" s="140">
        <f>Model!O$47*MIN(1,(AA$4-$I13&gt;=1)*INDEX(Model!$D$48:$O$48,1,MAX(1,AA$4-$I13))*$H13)*$O13-IF(AA$4-$I13&gt;=GoLiveQ,1,0)*(in_Platform*3+in_OngoingAnnual/4)-IF(AA$4&lt;=in_Spread,$K13/in_Spread,0)</f>
        <v>38975.831852</v>
      </c>
      <c r="AB13" s="192">
        <f>SUMPRODUCT(P13:AA13,Model!$D$50:$O$50)</f>
        <v>117818.72067213</v>
      </c>
      <c r="AC13" s="140">
        <f>SUM(P13:AA13)</f>
        <v>168149.995548</v>
      </c>
    </row>
    <row r="14">
      <c r="B14" s="28" t="inlineStr">
        <is>
          <t>Probe run + 0.01</t>
        </is>
      </c>
      <c r="C14" s="76" t="inlineStr">
        <is>
          <t>Break-even probe selected</t>
        </is>
      </c>
      <c r="D14" s="184">
        <f>Scenarios!$F$20</f>
        <v>0.92</v>
      </c>
      <c r="E14" s="184">
        <f>Scenarios!$F$21</f>
        <v>0.8</v>
      </c>
      <c r="F14" s="185">
        <f>Scenarios!$F$22</f>
        <v>8</v>
      </c>
      <c r="G14" s="184">
        <f>Scenarios!$F$23</f>
        <v>0.7</v>
      </c>
      <c r="H14" s="137">
        <f>Scenarios!$F$24</f>
        <v>1</v>
      </c>
      <c r="I14" s="186">
        <f>Scenarios!$F$25</f>
        <v>0</v>
      </c>
      <c r="J14" s="190">
        <f>Scenarios!$F$26+0.01</f>
        <v>0.226</v>
      </c>
      <c r="K14" s="188">
        <f>Scenarios!$F$27</f>
        <v>130000</v>
      </c>
      <c r="L14" s="189">
        <f>in_MinsToday-(E14*in_ReviewRate*(F14+(1-D14)*in_CatchRate*in_FixMins)+(1-E14)*in_MinsToday)</f>
        <v>24.784</v>
      </c>
      <c r="M14" s="190">
        <f>IF(L14&gt;0,L14*G14,L14)/60*in_HourlyCost</f>
        <v>13.0116</v>
      </c>
      <c r="N14" s="190">
        <f>in_ErrRateToday*in_ErrCostToday-(E14*(1-D14)*(1-in_ReviewRate*in_CatchRate)*in_ErrCostAI+(1-E14)*in_ErrRateToday*in_ErrCostToday)</f>
        <v>4.32</v>
      </c>
      <c r="O14" s="191">
        <f>M14+N14-J14</f>
        <v>17.1056</v>
      </c>
      <c r="P14" s="140">
        <f>Model!D$47*MIN(1,(P$4-$I14&gt;=1)*INDEX(Model!$D$48:$O$48,1,MAX(1,P$4-$I14))*$H14)*$O14-IF(P$4-$I14&gt;=GoLiveQ,1,0)*(in_Platform*3+in_OngoingAnnual/4)-IF(P$4&lt;=in_Spread,$K14/in_Spread,0)</f>
        <v>-65000</v>
      </c>
      <c r="Q14" s="140">
        <f>Model!E$47*MIN(1,(Q$4-$I14&gt;=1)*INDEX(Model!$D$48:$O$48,1,MAX(1,Q$4-$I14))*$H14)*$O14-IF(Q$4-$I14&gt;=GoLiveQ,1,0)*(in_Platform*3+in_OngoingAnnual/4)-IF(Q$4&lt;=in_Spread,$K14/in_Spread,0)</f>
        <v>-77368.32</v>
      </c>
      <c r="R14" s="140">
        <f>Model!F$47*MIN(1,(R$4-$I14&gt;=1)*INDEX(Model!$D$48:$O$48,1,MAX(1,R$4-$I14))*$H14)*$O14-IF(R$4-$I14&gt;=GoLiveQ,1,0)*(in_Platform*3+in_OngoingAnnual/4)-IF(R$4&lt;=in_Spread,$K14/in_Spread,0)</f>
        <v>3026.72000000001</v>
      </c>
      <c r="S14" s="140">
        <f>Model!G$47*MIN(1,(S$4-$I14&gt;=1)*INDEX(Model!$D$48:$O$48,1,MAX(1,S$4-$I14))*$H14)*$O14-IF(S$4-$I14&gt;=GoLiveQ,1,0)*(in_Platform*3+in_OngoingAnnual/4)-IF(S$4&lt;=in_Spread,$K14/in_Spread,0)</f>
        <v>18421.76</v>
      </c>
      <c r="T14" s="140">
        <f>Model!H$47*MIN(1,(T$4-$I14&gt;=1)*INDEX(Model!$D$48:$O$48,1,MAX(1,T$4-$I14))*$H14)*$O14-IF(T$4-$I14&gt;=GoLiveQ,1,0)*(in_Platform*3+in_OngoingAnnual/4)-IF(T$4&lt;=in_Spread,$K14/in_Spread,0)</f>
        <v>30481.208</v>
      </c>
      <c r="U14" s="140">
        <f>Model!I$47*MIN(1,(U$4-$I14&gt;=1)*INDEX(Model!$D$48:$O$48,1,MAX(1,U$4-$I14))*$H14)*$O14-IF(U$4-$I14&gt;=GoLiveQ,1,0)*(in_Platform*3+in_OngoingAnnual/4)-IF(U$4&lt;=in_Spread,$K14/in_Spread,0)</f>
        <v>33303.632</v>
      </c>
      <c r="V14" s="140">
        <f>Model!J$47*MIN(1,(V$4-$I14&gt;=1)*INDEX(Model!$D$48:$O$48,1,MAX(1,V$4-$I14))*$H14)*$O14-IF(V$4-$I14&gt;=GoLiveQ,1,0)*(in_Platform*3+in_OngoingAnnual/4)-IF(V$4&lt;=in_Spread,$K14/in_Spread,0)</f>
        <v>33303.632</v>
      </c>
      <c r="W14" s="140">
        <f>Model!K$47*MIN(1,(W$4-$I14&gt;=1)*INDEX(Model!$D$48:$O$48,1,MAX(1,W$4-$I14))*$H14)*$O14-IF(W$4-$I14&gt;=GoLiveQ,1,0)*(in_Platform*3+in_OngoingAnnual/4)-IF(W$4&lt;=in_Spread,$K14/in_Spread,0)</f>
        <v>33303.632</v>
      </c>
      <c r="X14" s="140">
        <f>Model!L$47*MIN(1,(X$4-$I14&gt;=1)*INDEX(Model!$D$48:$O$48,1,MAX(1,X$4-$I14))*$H14)*$O14-IF(X$4-$I14&gt;=GoLiveQ,1,0)*(in_Platform*3+in_OngoingAnnual/4)-IF(X$4&lt;=in_Spread,$K14/in_Spread,0)</f>
        <v>38383.9952</v>
      </c>
      <c r="Y14" s="140">
        <f>Model!M$47*MIN(1,(Y$4-$I14&gt;=1)*INDEX(Model!$D$48:$O$48,1,MAX(1,Y$4-$I14))*$H14)*$O14-IF(Y$4-$I14&gt;=GoLiveQ,1,0)*(in_Platform*3+in_OngoingAnnual/4)-IF(Y$4&lt;=in_Spread,$K14/in_Spread,0)</f>
        <v>38383.9952</v>
      </c>
      <c r="Z14" s="140">
        <f>Model!N$47*MIN(1,(Z$4-$I14&gt;=1)*INDEX(Model!$D$48:$O$48,1,MAX(1,Z$4-$I14))*$H14)*$O14-IF(Z$4-$I14&gt;=GoLiveQ,1,0)*(in_Platform*3+in_OngoingAnnual/4)-IF(Z$4&lt;=in_Spread,$K14/in_Spread,0)</f>
        <v>38383.9952</v>
      </c>
      <c r="AA14" s="140">
        <f>Model!O$47*MIN(1,(AA$4-$I14&gt;=1)*INDEX(Model!$D$48:$O$48,1,MAX(1,AA$4-$I14))*$H14)*$O14-IF(AA$4-$I14&gt;=GoLiveQ,1,0)*(in_Platform*3+in_OngoingAnnual/4)-IF(AA$4&lt;=in_Spread,$K14/in_Spread,0)</f>
        <v>38383.9952</v>
      </c>
      <c r="AB14" s="192">
        <f>SUMPRODUCT(P14:AA14,Model!$D$50:$O$50)</f>
        <v>113557.209703044</v>
      </c>
      <c r="AC14" s="140">
        <f>SUM(P14:AA14)</f>
        <v>163008.2448</v>
      </c>
    </row>
    <row r="15">
      <c r="B15" s="28" t="inlineStr">
        <is>
          <t>Probe one + 1000</t>
        </is>
      </c>
      <c r="C15" s="76" t="inlineStr">
        <is>
          <t>Break-even probe selected</t>
        </is>
      </c>
      <c r="D15" s="184">
        <f>Scenarios!$F$20</f>
        <v>0.92</v>
      </c>
      <c r="E15" s="184">
        <f>Scenarios!$F$21</f>
        <v>0.8</v>
      </c>
      <c r="F15" s="185">
        <f>Scenarios!$F$22</f>
        <v>8</v>
      </c>
      <c r="G15" s="184">
        <f>Scenarios!$F$23</f>
        <v>0.7</v>
      </c>
      <c r="H15" s="137">
        <f>Scenarios!$F$24</f>
        <v>1</v>
      </c>
      <c r="I15" s="186">
        <f>Scenarios!$F$25</f>
        <v>0</v>
      </c>
      <c r="J15" s="187">
        <f>Scenarios!$F$26</f>
        <v>0.216</v>
      </c>
      <c r="K15" s="140">
        <f>Scenarios!$F$27+1000</f>
        <v>131000</v>
      </c>
      <c r="L15" s="189">
        <f>in_MinsToday-(E15*in_ReviewRate*(F15+(1-D15)*in_CatchRate*in_FixMins)+(1-E15)*in_MinsToday)</f>
        <v>24.784</v>
      </c>
      <c r="M15" s="190">
        <f>IF(L15&gt;0,L15*G15,L15)/60*in_HourlyCost</f>
        <v>13.0116</v>
      </c>
      <c r="N15" s="190">
        <f>in_ErrRateToday*in_ErrCostToday-(E15*(1-D15)*(1-in_ReviewRate*in_CatchRate)*in_ErrCostAI+(1-E15)*in_ErrRateToday*in_ErrCostToday)</f>
        <v>4.32</v>
      </c>
      <c r="O15" s="191">
        <f>M15+N15-J15</f>
        <v>17.1156</v>
      </c>
      <c r="P15" s="140">
        <f>Model!D$47*MIN(1,(P$4-$I15&gt;=1)*INDEX(Model!$D$48:$O$48,1,MAX(1,P$4-$I15))*$H15)*$O15-IF(P$4-$I15&gt;=GoLiveQ,1,0)*(in_Platform*3+in_OngoingAnnual/4)-IF(P$4&lt;=in_Spread,$K15/in_Spread,0)</f>
        <v>-65500</v>
      </c>
      <c r="Q15" s="140">
        <f>Model!E$47*MIN(1,(Q$4-$I15&gt;=1)*INDEX(Model!$D$48:$O$48,1,MAX(1,Q$4-$I15))*$H15)*$O15-IF(Q$4-$I15&gt;=GoLiveQ,1,0)*(in_Platform*3+in_OngoingAnnual/4)-IF(Q$4&lt;=in_Spread,$K15/in_Spread,0)</f>
        <v>-77865.32</v>
      </c>
      <c r="R15" s="140">
        <f>Model!F$47*MIN(1,(R$4-$I15&gt;=1)*INDEX(Model!$D$48:$O$48,1,MAX(1,R$4-$I15))*$H15)*$O15-IF(R$4-$I15&gt;=GoLiveQ,1,0)*(in_Platform*3+in_OngoingAnnual/4)-IF(R$4&lt;=in_Spread,$K15/in_Spread,0)</f>
        <v>3038.72</v>
      </c>
      <c r="S15" s="140">
        <f>Model!G$47*MIN(1,(S$4-$I15&gt;=1)*INDEX(Model!$D$48:$O$48,1,MAX(1,S$4-$I15))*$H15)*$O15-IF(S$4-$I15&gt;=GoLiveQ,1,0)*(in_Platform*3+in_OngoingAnnual/4)-IF(S$4&lt;=in_Spread,$K15/in_Spread,0)</f>
        <v>18442.76</v>
      </c>
      <c r="T15" s="140">
        <f>Model!H$47*MIN(1,(T$4-$I15&gt;=1)*INDEX(Model!$D$48:$O$48,1,MAX(1,T$4-$I15))*$H15)*$O15-IF(T$4-$I15&gt;=GoLiveQ,1,0)*(in_Platform*3+in_OngoingAnnual/4)-IF(T$4&lt;=in_Spread,$K15/in_Spread,0)</f>
        <v>30509.258</v>
      </c>
      <c r="U15" s="140">
        <f>Model!I$47*MIN(1,(U$4-$I15&gt;=1)*INDEX(Model!$D$48:$O$48,1,MAX(1,U$4-$I15))*$H15)*$O15-IF(U$4-$I15&gt;=GoLiveQ,1,0)*(in_Platform*3+in_OngoingAnnual/4)-IF(U$4&lt;=in_Spread,$K15/in_Spread,0)</f>
        <v>33333.332</v>
      </c>
      <c r="V15" s="140">
        <f>Model!J$47*MIN(1,(V$4-$I15&gt;=1)*INDEX(Model!$D$48:$O$48,1,MAX(1,V$4-$I15))*$H15)*$O15-IF(V$4-$I15&gt;=GoLiveQ,1,0)*(in_Platform*3+in_OngoingAnnual/4)-IF(V$4&lt;=in_Spread,$K15/in_Spread,0)</f>
        <v>33333.332</v>
      </c>
      <c r="W15" s="140">
        <f>Model!K$47*MIN(1,(W$4-$I15&gt;=1)*INDEX(Model!$D$48:$O$48,1,MAX(1,W$4-$I15))*$H15)*$O15-IF(W$4-$I15&gt;=GoLiveQ,1,0)*(in_Platform*3+in_OngoingAnnual/4)-IF(W$4&lt;=in_Spread,$K15/in_Spread,0)</f>
        <v>33333.332</v>
      </c>
      <c r="X15" s="140">
        <f>Model!L$47*MIN(1,(X$4-$I15&gt;=1)*INDEX(Model!$D$48:$O$48,1,MAX(1,X$4-$I15))*$H15)*$O15-IF(X$4-$I15&gt;=GoLiveQ,1,0)*(in_Platform*3+in_OngoingAnnual/4)-IF(X$4&lt;=in_Spread,$K15/in_Spread,0)</f>
        <v>38416.6652</v>
      </c>
      <c r="Y15" s="140">
        <f>Model!M$47*MIN(1,(Y$4-$I15&gt;=1)*INDEX(Model!$D$48:$O$48,1,MAX(1,Y$4-$I15))*$H15)*$O15-IF(Y$4-$I15&gt;=GoLiveQ,1,0)*(in_Platform*3+in_OngoingAnnual/4)-IF(Y$4&lt;=in_Spread,$K15/in_Spread,0)</f>
        <v>38416.6652</v>
      </c>
      <c r="Z15" s="140">
        <f>Model!N$47*MIN(1,(Z$4-$I15&gt;=1)*INDEX(Model!$D$48:$O$48,1,MAX(1,Z$4-$I15))*$H15)*$O15-IF(Z$4-$I15&gt;=GoLiveQ,1,0)*(in_Platform*3+in_OngoingAnnual/4)-IF(Z$4&lt;=in_Spread,$K15/in_Spread,0)</f>
        <v>38416.6652</v>
      </c>
      <c r="AA15" s="140">
        <f>Model!O$47*MIN(1,(AA$4-$I15&gt;=1)*INDEX(Model!$D$48:$O$48,1,MAX(1,AA$4-$I15))*$H15)*$O15-IF(AA$4-$I15&gt;=GoLiveQ,1,0)*(in_Platform*3+in_OngoingAnnual/4)-IF(AA$4&lt;=in_Spread,$K15/in_Spread,0)</f>
        <v>38416.6652</v>
      </c>
      <c r="AB15" s="192">
        <f>SUMPRODUCT(P15:AA15,Model!$D$50:$O$50)</f>
        <v>112827.491210405</v>
      </c>
      <c r="AC15" s="140">
        <f>SUM(P15:AA15)</f>
        <v>162292.0748</v>
      </c>
    </row>
    <row r="16">
      <c r="B16" s="28" t="inlineStr">
        <is>
          <t>Probe acc + 0.01</t>
        </is>
      </c>
      <c r="C16" s="76" t="inlineStr">
        <is>
          <t>Break-even probe base</t>
        </is>
      </c>
      <c r="D16" s="193">
        <f>Scenarios!$D$20+0.01</f>
        <v>0.93</v>
      </c>
      <c r="E16" s="184">
        <f>Scenarios!$D$21</f>
        <v>0.8</v>
      </c>
      <c r="F16" s="185">
        <f>Scenarios!$D$22</f>
        <v>8</v>
      </c>
      <c r="G16" s="184">
        <f>Scenarios!$D$23</f>
        <v>0.7</v>
      </c>
      <c r="H16" s="137">
        <f>Scenarios!$D$24</f>
        <v>1</v>
      </c>
      <c r="I16" s="186">
        <f>Scenarios!$D$25</f>
        <v>0</v>
      </c>
      <c r="J16" s="187">
        <f>Scenarios!$D$26</f>
        <v>0.216</v>
      </c>
      <c r="K16" s="188">
        <f>Scenarios!$D$27</f>
        <v>130000</v>
      </c>
      <c r="L16" s="189">
        <f>in_MinsToday-(E16*in_ReviewRate*(F16+(1-D16)*in_CatchRate*in_FixMins)+(1-E16)*in_MinsToday)</f>
        <v>24.886</v>
      </c>
      <c r="M16" s="190">
        <f>IF(L16&gt;0,L16*G16,L16)/60*in_HourlyCost</f>
        <v>13.06515</v>
      </c>
      <c r="N16" s="190">
        <f>in_ErrRateToday*in_ErrCostToday-(E16*(1-D16)*(1-in_ReviewRate*in_CatchRate)*in_ErrCostAI+(1-E16)*in_ErrRateToday*in_ErrCostToday)</f>
        <v>4.68</v>
      </c>
      <c r="O16" s="191">
        <f>M16+N16-J16</f>
        <v>17.52915</v>
      </c>
      <c r="P16" s="140">
        <f>Model!D$47*MIN(1,(P$4-$I16&gt;=1)*INDEX(Model!$D$48:$O$48,1,MAX(1,P$4-$I16))*$H16)*$O16-IF(P$4-$I16&gt;=GoLiveQ,1,0)*(in_Platform*3+in_OngoingAnnual/4)-IF(P$4&lt;=in_Spread,$K16/in_Spread,0)</f>
        <v>-65000</v>
      </c>
      <c r="Q16" s="140">
        <f>Model!E$47*MIN(1,(Q$4-$I16&gt;=1)*INDEX(Model!$D$48:$O$48,1,MAX(1,Q$4-$I16))*$H16)*$O16-IF(Q$4-$I16&gt;=GoLiveQ,1,0)*(in_Platform*3+in_OngoingAnnual/4)-IF(Q$4&lt;=in_Spread,$K16/in_Spread,0)</f>
        <v>-77241.255</v>
      </c>
      <c r="R16" s="140">
        <f>Model!F$47*MIN(1,(R$4-$I16&gt;=1)*INDEX(Model!$D$48:$O$48,1,MAX(1,R$4-$I16))*$H16)*$O16-IF(R$4-$I16&gt;=GoLiveQ,1,0)*(in_Platform*3+in_OngoingAnnual/4)-IF(R$4&lt;=in_Spread,$K16/in_Spread,0)</f>
        <v>3534.98</v>
      </c>
      <c r="S16" s="140">
        <f>Model!G$47*MIN(1,(S$4-$I16&gt;=1)*INDEX(Model!$D$48:$O$48,1,MAX(1,S$4-$I16))*$H16)*$O16-IF(S$4-$I16&gt;=GoLiveQ,1,0)*(in_Platform*3+in_OngoingAnnual/4)-IF(S$4&lt;=in_Spread,$K16/in_Spread,0)</f>
        <v>19311.215</v>
      </c>
      <c r="T16" s="140">
        <f>Model!H$47*MIN(1,(T$4-$I16&gt;=1)*INDEX(Model!$D$48:$O$48,1,MAX(1,T$4-$I16))*$H16)*$O16-IF(T$4-$I16&gt;=GoLiveQ,1,0)*(in_Platform*3+in_OngoingAnnual/4)-IF(T$4&lt;=in_Spread,$K16/in_Spread,0)</f>
        <v>31669.26575</v>
      </c>
      <c r="U16" s="140">
        <f>Model!I$47*MIN(1,(U$4-$I16&gt;=1)*INDEX(Model!$D$48:$O$48,1,MAX(1,U$4-$I16))*$H16)*$O16-IF(U$4-$I16&gt;=GoLiveQ,1,0)*(in_Platform*3+in_OngoingAnnual/4)-IF(U$4&lt;=in_Spread,$K16/in_Spread,0)</f>
        <v>34561.5755</v>
      </c>
      <c r="V16" s="140">
        <f>Model!J$47*MIN(1,(V$4-$I16&gt;=1)*INDEX(Model!$D$48:$O$48,1,MAX(1,V$4-$I16))*$H16)*$O16-IF(V$4-$I16&gt;=GoLiveQ,1,0)*(in_Platform*3+in_OngoingAnnual/4)-IF(V$4&lt;=in_Spread,$K16/in_Spread,0)</f>
        <v>34561.5755</v>
      </c>
      <c r="W16" s="140">
        <f>Model!K$47*MIN(1,(W$4-$I16&gt;=1)*INDEX(Model!$D$48:$O$48,1,MAX(1,W$4-$I16))*$H16)*$O16-IF(W$4-$I16&gt;=GoLiveQ,1,0)*(in_Platform*3+in_OngoingAnnual/4)-IF(W$4&lt;=in_Spread,$K16/in_Spread,0)</f>
        <v>34561.5755</v>
      </c>
      <c r="X16" s="140">
        <f>Model!L$47*MIN(1,(X$4-$I16&gt;=1)*INDEX(Model!$D$48:$O$48,1,MAX(1,X$4-$I16))*$H16)*$O16-IF(X$4-$I16&gt;=GoLiveQ,1,0)*(in_Platform*3+in_OngoingAnnual/4)-IF(X$4&lt;=in_Spread,$K16/in_Spread,0)</f>
        <v>39767.73305</v>
      </c>
      <c r="Y16" s="140">
        <f>Model!M$47*MIN(1,(Y$4-$I16&gt;=1)*INDEX(Model!$D$48:$O$48,1,MAX(1,Y$4-$I16))*$H16)*$O16-IF(Y$4-$I16&gt;=GoLiveQ,1,0)*(in_Platform*3+in_OngoingAnnual/4)-IF(Y$4&lt;=in_Spread,$K16/in_Spread,0)</f>
        <v>39767.73305</v>
      </c>
      <c r="Z16" s="140">
        <f>Model!N$47*MIN(1,(Z$4-$I16&gt;=1)*INDEX(Model!$D$48:$O$48,1,MAX(1,Z$4-$I16))*$H16)*$O16-IF(Z$4-$I16&gt;=GoLiveQ,1,0)*(in_Platform*3+in_OngoingAnnual/4)-IF(Z$4&lt;=in_Spread,$K16/in_Spread,0)</f>
        <v>39767.73305</v>
      </c>
      <c r="AA16" s="140">
        <f>Model!O$47*MIN(1,(AA$4-$I16&gt;=1)*INDEX(Model!$D$48:$O$48,1,MAX(1,AA$4-$I16))*$H16)*$O16-IF(AA$4-$I16&gt;=GoLiveQ,1,0)*(in_Platform*3+in_OngoingAnnual/4)-IF(AA$4&lt;=in_Spread,$K16/in_Spread,0)</f>
        <v>39767.73305</v>
      </c>
      <c r="AB16" s="192">
        <f>SUMPRODUCT(P16:AA16,Model!$D$50:$O$50)</f>
        <v>123520.793415185</v>
      </c>
      <c r="AC16" s="140">
        <f>SUM(P16:AA16)</f>
        <v>175029.86445</v>
      </c>
    </row>
    <row r="17">
      <c r="B17" s="28" t="inlineStr">
        <is>
          <t>Probe h + 0.01</t>
        </is>
      </c>
      <c r="C17" s="76" t="inlineStr">
        <is>
          <t>Break-even probe base</t>
        </is>
      </c>
      <c r="D17" s="184">
        <f>Scenarios!$D$20</f>
        <v>0.92</v>
      </c>
      <c r="E17" s="193">
        <f>Scenarios!$D$21+0.01</f>
        <v>0.81</v>
      </c>
      <c r="F17" s="185">
        <f>Scenarios!$D$22</f>
        <v>8</v>
      </c>
      <c r="G17" s="184">
        <f>Scenarios!$D$23</f>
        <v>0.7</v>
      </c>
      <c r="H17" s="137">
        <f>Scenarios!$D$24</f>
        <v>1</v>
      </c>
      <c r="I17" s="186">
        <f>Scenarios!$D$25</f>
        <v>0</v>
      </c>
      <c r="J17" s="187">
        <f>Scenarios!$D$26</f>
        <v>0.216</v>
      </c>
      <c r="K17" s="188">
        <f>Scenarios!$D$27</f>
        <v>130000</v>
      </c>
      <c r="L17" s="189">
        <f>in_MinsToday-(E17*in_ReviewRate*(F17+(1-D17)*in_CatchRate*in_FixMins)+(1-E17)*in_MinsToday)</f>
        <v>25.0938</v>
      </c>
      <c r="M17" s="190">
        <f>IF(L17&gt;0,L17*G17,L17)/60*in_HourlyCost</f>
        <v>13.174245</v>
      </c>
      <c r="N17" s="190">
        <f>in_ErrRateToday*in_ErrCostToday-(E17*(1-D17)*(1-in_ReviewRate*in_CatchRate)*in_ErrCostAI+(1-E17)*in_ErrRateToday*in_ErrCostToday)</f>
        <v>4.374</v>
      </c>
      <c r="O17" s="191">
        <f>M17+N17-J17</f>
        <v>17.332245</v>
      </c>
      <c r="P17" s="140">
        <f>Model!D$47*MIN(1,(P$4-$I17&gt;=1)*INDEX(Model!$D$48:$O$48,1,MAX(1,P$4-$I17))*$H17)*$O17-IF(P$4-$I17&gt;=GoLiveQ,1,0)*(in_Platform*3+in_OngoingAnnual/4)-IF(P$4&lt;=in_Spread,$K17/in_Spread,0)</f>
        <v>-65000</v>
      </c>
      <c r="Q17" s="140">
        <f>Model!E$47*MIN(1,(Q$4-$I17&gt;=1)*INDEX(Model!$D$48:$O$48,1,MAX(1,Q$4-$I17))*$H17)*$O17-IF(Q$4-$I17&gt;=GoLiveQ,1,0)*(in_Platform*3+in_OngoingAnnual/4)-IF(Q$4&lt;=in_Spread,$K17/in_Spread,0)</f>
        <v>-77300.3265</v>
      </c>
      <c r="R17" s="140">
        <f>Model!F$47*MIN(1,(R$4-$I17&gt;=1)*INDEX(Model!$D$48:$O$48,1,MAX(1,R$4-$I17))*$H17)*$O17-IF(R$4-$I17&gt;=GoLiveQ,1,0)*(in_Platform*3+in_OngoingAnnual/4)-IF(R$4&lt;=in_Spread,$K17/in_Spread,0)</f>
        <v>3298.694</v>
      </c>
      <c r="S17" s="140">
        <f>Model!G$47*MIN(1,(S$4-$I17&gt;=1)*INDEX(Model!$D$48:$O$48,1,MAX(1,S$4-$I17))*$H17)*$O17-IF(S$4-$I17&gt;=GoLiveQ,1,0)*(in_Platform*3+in_OngoingAnnual/4)-IF(S$4&lt;=in_Spread,$K17/in_Spread,0)</f>
        <v>18897.7145</v>
      </c>
      <c r="T17" s="140">
        <f>Model!H$47*MIN(1,(T$4-$I17&gt;=1)*INDEX(Model!$D$48:$O$48,1,MAX(1,T$4-$I17))*$H17)*$O17-IF(T$4-$I17&gt;=GoLiveQ,1,0)*(in_Platform*3+in_OngoingAnnual/4)-IF(T$4&lt;=in_Spread,$K17/in_Spread,0)</f>
        <v>31116.947225</v>
      </c>
      <c r="U17" s="140">
        <f>Model!I$47*MIN(1,(U$4-$I17&gt;=1)*INDEX(Model!$D$48:$O$48,1,MAX(1,U$4-$I17))*$H17)*$O17-IF(U$4-$I17&gt;=GoLiveQ,1,0)*(in_Platform*3+in_OngoingAnnual/4)-IF(U$4&lt;=in_Spread,$K17/in_Spread,0)</f>
        <v>33976.76765</v>
      </c>
      <c r="V17" s="140">
        <f>Model!J$47*MIN(1,(V$4-$I17&gt;=1)*INDEX(Model!$D$48:$O$48,1,MAX(1,V$4-$I17))*$H17)*$O17-IF(V$4-$I17&gt;=GoLiveQ,1,0)*(in_Platform*3+in_OngoingAnnual/4)-IF(V$4&lt;=in_Spread,$K17/in_Spread,0)</f>
        <v>33976.76765</v>
      </c>
      <c r="W17" s="140">
        <f>Model!K$47*MIN(1,(W$4-$I17&gt;=1)*INDEX(Model!$D$48:$O$48,1,MAX(1,W$4-$I17))*$H17)*$O17-IF(W$4-$I17&gt;=GoLiveQ,1,0)*(in_Platform*3+in_OngoingAnnual/4)-IF(W$4&lt;=in_Spread,$K17/in_Spread,0)</f>
        <v>33976.76765</v>
      </c>
      <c r="X17" s="140">
        <f>Model!L$47*MIN(1,(X$4-$I17&gt;=1)*INDEX(Model!$D$48:$O$48,1,MAX(1,X$4-$I17))*$H17)*$O17-IF(X$4-$I17&gt;=GoLiveQ,1,0)*(in_Platform*3+in_OngoingAnnual/4)-IF(X$4&lt;=in_Spread,$K17/in_Spread,0)</f>
        <v>39124.444415</v>
      </c>
      <c r="Y17" s="140">
        <f>Model!M$47*MIN(1,(Y$4-$I17&gt;=1)*INDEX(Model!$D$48:$O$48,1,MAX(1,Y$4-$I17))*$H17)*$O17-IF(Y$4-$I17&gt;=GoLiveQ,1,0)*(in_Platform*3+in_OngoingAnnual/4)-IF(Y$4&lt;=in_Spread,$K17/in_Spread,0)</f>
        <v>39124.444415</v>
      </c>
      <c r="Z17" s="140">
        <f>Model!N$47*MIN(1,(Z$4-$I17&gt;=1)*INDEX(Model!$D$48:$O$48,1,MAX(1,Z$4-$I17))*$H17)*$O17-IF(Z$4-$I17&gt;=GoLiveQ,1,0)*(in_Platform*3+in_OngoingAnnual/4)-IF(Z$4&lt;=in_Spread,$K17/in_Spread,0)</f>
        <v>39124.444415</v>
      </c>
      <c r="AA17" s="140">
        <f>Model!O$47*MIN(1,(AA$4-$I17&gt;=1)*INDEX(Model!$D$48:$O$48,1,MAX(1,AA$4-$I17))*$H17)*$O17-IF(AA$4-$I17&gt;=GoLiveQ,1,0)*(in_Platform*3+in_OngoingAnnual/4)-IF(AA$4&lt;=in_Spread,$K17/in_Spread,0)</f>
        <v>39124.444415</v>
      </c>
      <c r="AB17" s="192">
        <f>SUMPRODUCT(P17:AA17,Model!$D$50:$O$50)</f>
        <v>118888.803211338</v>
      </c>
      <c r="AC17" s="140">
        <f>SUM(P17:AA17)</f>
        <v>169441.109835</v>
      </c>
    </row>
    <row r="18">
      <c r="B18" s="28" t="inlineStr">
        <is>
          <t>Probe m1 + 1</t>
        </is>
      </c>
      <c r="C18" s="76" t="inlineStr">
        <is>
          <t>Break-even probe base</t>
        </is>
      </c>
      <c r="D18" s="184">
        <f>Scenarios!$D$20</f>
        <v>0.92</v>
      </c>
      <c r="E18" s="184">
        <f>Scenarios!$D$21</f>
        <v>0.8</v>
      </c>
      <c r="F18" s="194">
        <f>Scenarios!$D$22+1</f>
        <v>9</v>
      </c>
      <c r="G18" s="184">
        <f>Scenarios!$D$23</f>
        <v>0.7</v>
      </c>
      <c r="H18" s="137">
        <f>Scenarios!$D$24</f>
        <v>1</v>
      </c>
      <c r="I18" s="186">
        <f>Scenarios!$D$25</f>
        <v>0</v>
      </c>
      <c r="J18" s="187">
        <f>Scenarios!$D$26</f>
        <v>0.216</v>
      </c>
      <c r="K18" s="188">
        <f>Scenarios!$D$27</f>
        <v>130000</v>
      </c>
      <c r="L18" s="189">
        <f>in_MinsToday-(E18*in_ReviewRate*(F18+(1-D18)*in_CatchRate*in_FixMins)+(1-E18)*in_MinsToday)</f>
        <v>23.984</v>
      </c>
      <c r="M18" s="190">
        <f>IF(L18&gt;0,L18*G18,L18)/60*in_HourlyCost</f>
        <v>12.5916</v>
      </c>
      <c r="N18" s="190">
        <f>in_ErrRateToday*in_ErrCostToday-(E18*(1-D18)*(1-in_ReviewRate*in_CatchRate)*in_ErrCostAI+(1-E18)*in_ErrRateToday*in_ErrCostToday)</f>
        <v>4.32</v>
      </c>
      <c r="O18" s="191">
        <f>M18+N18-J18</f>
        <v>16.6956</v>
      </c>
      <c r="P18" s="140">
        <f>Model!D$47*MIN(1,(P$4-$I18&gt;=1)*INDEX(Model!$D$48:$O$48,1,MAX(1,P$4-$I18))*$H18)*$O18-IF(P$4-$I18&gt;=GoLiveQ,1,0)*(in_Platform*3+in_OngoingAnnual/4)-IF(P$4&lt;=in_Spread,$K18/in_Spread,0)</f>
        <v>-65000</v>
      </c>
      <c r="Q18" s="140">
        <f>Model!E$47*MIN(1,(Q$4-$I18&gt;=1)*INDEX(Model!$D$48:$O$48,1,MAX(1,Q$4-$I18))*$H18)*$O18-IF(Q$4-$I18&gt;=GoLiveQ,1,0)*(in_Platform*3+in_OngoingAnnual/4)-IF(Q$4&lt;=in_Spread,$K18/in_Spread,0)</f>
        <v>-77491.32</v>
      </c>
      <c r="R18" s="140">
        <f>Model!F$47*MIN(1,(R$4-$I18&gt;=1)*INDEX(Model!$D$48:$O$48,1,MAX(1,R$4-$I18))*$H18)*$O18-IF(R$4-$I18&gt;=GoLiveQ,1,0)*(in_Platform*3+in_OngoingAnnual/4)-IF(R$4&lt;=in_Spread,$K18/in_Spread,0)</f>
        <v>2534.72</v>
      </c>
      <c r="S18" s="140">
        <f>Model!G$47*MIN(1,(S$4-$I18&gt;=1)*INDEX(Model!$D$48:$O$48,1,MAX(1,S$4-$I18))*$H18)*$O18-IF(S$4-$I18&gt;=GoLiveQ,1,0)*(in_Platform*3+in_OngoingAnnual/4)-IF(S$4&lt;=in_Spread,$K18/in_Spread,0)</f>
        <v>17560.76</v>
      </c>
      <c r="T18" s="140">
        <f>Model!H$47*MIN(1,(T$4-$I18&gt;=1)*INDEX(Model!$D$48:$O$48,1,MAX(1,T$4-$I18))*$H18)*$O18-IF(T$4-$I18&gt;=GoLiveQ,1,0)*(in_Platform*3+in_OngoingAnnual/4)-IF(T$4&lt;=in_Spread,$K18/in_Spread,0)</f>
        <v>29331.158</v>
      </c>
      <c r="U18" s="140">
        <f>Model!I$47*MIN(1,(U$4-$I18&gt;=1)*INDEX(Model!$D$48:$O$48,1,MAX(1,U$4-$I18))*$H18)*$O18-IF(U$4-$I18&gt;=GoLiveQ,1,0)*(in_Platform*3+in_OngoingAnnual/4)-IF(U$4&lt;=in_Spread,$K18/in_Spread,0)</f>
        <v>32085.932</v>
      </c>
      <c r="V18" s="140">
        <f>Model!J$47*MIN(1,(V$4-$I18&gt;=1)*INDEX(Model!$D$48:$O$48,1,MAX(1,V$4-$I18))*$H18)*$O18-IF(V$4-$I18&gt;=GoLiveQ,1,0)*(in_Platform*3+in_OngoingAnnual/4)-IF(V$4&lt;=in_Spread,$K18/in_Spread,0)</f>
        <v>32085.932</v>
      </c>
      <c r="W18" s="140">
        <f>Model!K$47*MIN(1,(W$4-$I18&gt;=1)*INDEX(Model!$D$48:$O$48,1,MAX(1,W$4-$I18))*$H18)*$O18-IF(W$4-$I18&gt;=GoLiveQ,1,0)*(in_Platform*3+in_OngoingAnnual/4)-IF(W$4&lt;=in_Spread,$K18/in_Spread,0)</f>
        <v>32085.932</v>
      </c>
      <c r="X18" s="140">
        <f>Model!L$47*MIN(1,(X$4-$I18&gt;=1)*INDEX(Model!$D$48:$O$48,1,MAX(1,X$4-$I18))*$H18)*$O18-IF(X$4-$I18&gt;=GoLiveQ,1,0)*(in_Platform*3+in_OngoingAnnual/4)-IF(X$4&lt;=in_Spread,$K18/in_Spread,0)</f>
        <v>37044.5252</v>
      </c>
      <c r="Y18" s="140">
        <f>Model!M$47*MIN(1,(Y$4-$I18&gt;=1)*INDEX(Model!$D$48:$O$48,1,MAX(1,Y$4-$I18))*$H18)*$O18-IF(Y$4-$I18&gt;=GoLiveQ,1,0)*(in_Platform*3+in_OngoingAnnual/4)-IF(Y$4&lt;=in_Spread,$K18/in_Spread,0)</f>
        <v>37044.5252</v>
      </c>
      <c r="Z18" s="140">
        <f>Model!N$47*MIN(1,(Z$4-$I18&gt;=1)*INDEX(Model!$D$48:$O$48,1,MAX(1,Z$4-$I18))*$H18)*$O18-IF(Z$4-$I18&gt;=GoLiveQ,1,0)*(in_Platform*3+in_OngoingAnnual/4)-IF(Z$4&lt;=in_Spread,$K18/in_Spread,0)</f>
        <v>37044.5252</v>
      </c>
      <c r="AA18" s="140">
        <f>Model!O$47*MIN(1,(AA$4-$I18&gt;=1)*INDEX(Model!$D$48:$O$48,1,MAX(1,AA$4-$I18))*$H18)*$O18-IF(AA$4-$I18&gt;=GoLiveQ,1,0)*(in_Platform*3+in_OngoingAnnual/4)-IF(AA$4&lt;=in_Spread,$K18/in_Spread,0)</f>
        <v>37044.5252</v>
      </c>
      <c r="AB18" s="192">
        <f>SUMPRODUCT(P18:AA18,Model!$D$50:$O$50)</f>
        <v>103912.375983346</v>
      </c>
      <c r="AC18" s="140">
        <f>SUM(P18:AA18)</f>
        <v>151371.2148</v>
      </c>
    </row>
    <row r="19">
      <c r="B19" s="28" t="inlineStr">
        <is>
          <t>Probe rho + 0.01</t>
        </is>
      </c>
      <c r="C19" s="76" t="inlineStr">
        <is>
          <t>Break-even probe base</t>
        </is>
      </c>
      <c r="D19" s="184">
        <f>Scenarios!$D$20</f>
        <v>0.92</v>
      </c>
      <c r="E19" s="184">
        <f>Scenarios!$D$21</f>
        <v>0.8</v>
      </c>
      <c r="F19" s="185">
        <f>Scenarios!$D$22</f>
        <v>8</v>
      </c>
      <c r="G19" s="193">
        <f>Scenarios!$D$23+0.01</f>
        <v>0.71</v>
      </c>
      <c r="H19" s="137">
        <f>Scenarios!$D$24</f>
        <v>1</v>
      </c>
      <c r="I19" s="186">
        <f>Scenarios!$D$25</f>
        <v>0</v>
      </c>
      <c r="J19" s="187">
        <f>Scenarios!$D$26</f>
        <v>0.216</v>
      </c>
      <c r="K19" s="188">
        <f>Scenarios!$D$27</f>
        <v>130000</v>
      </c>
      <c r="L19" s="189">
        <f>in_MinsToday-(E19*in_ReviewRate*(F19+(1-D19)*in_CatchRate*in_FixMins)+(1-E19)*in_MinsToday)</f>
        <v>24.784</v>
      </c>
      <c r="M19" s="190">
        <f>IF(L19&gt;0,L19*G19,L19)/60*in_HourlyCost</f>
        <v>13.19748</v>
      </c>
      <c r="N19" s="190">
        <f>in_ErrRateToday*in_ErrCostToday-(E19*(1-D19)*(1-in_ReviewRate*in_CatchRate)*in_ErrCostAI+(1-E19)*in_ErrRateToday*in_ErrCostToday)</f>
        <v>4.32</v>
      </c>
      <c r="O19" s="191">
        <f>M19+N19-J19</f>
        <v>17.30148</v>
      </c>
      <c r="P19" s="140">
        <f>Model!D$47*MIN(1,(P$4-$I19&gt;=1)*INDEX(Model!$D$48:$O$48,1,MAX(1,P$4-$I19))*$H19)*$O19-IF(P$4-$I19&gt;=GoLiveQ,1,0)*(in_Platform*3+in_OngoingAnnual/4)-IF(P$4&lt;=in_Spread,$K19/in_Spread,0)</f>
        <v>-65000</v>
      </c>
      <c r="Q19" s="140">
        <f>Model!E$47*MIN(1,(Q$4-$I19&gt;=1)*INDEX(Model!$D$48:$O$48,1,MAX(1,Q$4-$I19))*$H19)*$O19-IF(Q$4-$I19&gt;=GoLiveQ,1,0)*(in_Platform*3+in_OngoingAnnual/4)-IF(Q$4&lt;=in_Spread,$K19/in_Spread,0)</f>
        <v>-77309.556</v>
      </c>
      <c r="R19" s="140">
        <f>Model!F$47*MIN(1,(R$4-$I19&gt;=1)*INDEX(Model!$D$48:$O$48,1,MAX(1,R$4-$I19))*$H19)*$O19-IF(R$4-$I19&gt;=GoLiveQ,1,0)*(in_Platform*3+in_OngoingAnnual/4)-IF(R$4&lt;=in_Spread,$K19/in_Spread,0)</f>
        <v>3261.776</v>
      </c>
      <c r="S19" s="140">
        <f>Model!G$47*MIN(1,(S$4-$I19&gt;=1)*INDEX(Model!$D$48:$O$48,1,MAX(1,S$4-$I19))*$H19)*$O19-IF(S$4-$I19&gt;=GoLiveQ,1,0)*(in_Platform*3+in_OngoingAnnual/4)-IF(S$4&lt;=in_Spread,$K19/in_Spread,0)</f>
        <v>18833.108</v>
      </c>
      <c r="T19" s="140">
        <f>Model!H$47*MIN(1,(T$4-$I19&gt;=1)*INDEX(Model!$D$48:$O$48,1,MAX(1,T$4-$I19))*$H19)*$O19-IF(T$4-$I19&gt;=GoLiveQ,1,0)*(in_Platform*3+in_OngoingAnnual/4)-IF(T$4&lt;=in_Spread,$K19/in_Spread,0)</f>
        <v>31030.6514</v>
      </c>
      <c r="U19" s="140">
        <f>Model!I$47*MIN(1,(U$4-$I19&gt;=1)*INDEX(Model!$D$48:$O$48,1,MAX(1,U$4-$I19))*$H19)*$O19-IF(U$4-$I19&gt;=GoLiveQ,1,0)*(in_Platform*3+in_OngoingAnnual/4)-IF(U$4&lt;=in_Spread,$K19/in_Spread,0)</f>
        <v>33885.3956</v>
      </c>
      <c r="V19" s="140">
        <f>Model!J$47*MIN(1,(V$4-$I19&gt;=1)*INDEX(Model!$D$48:$O$48,1,MAX(1,V$4-$I19))*$H19)*$O19-IF(V$4-$I19&gt;=GoLiveQ,1,0)*(in_Platform*3+in_OngoingAnnual/4)-IF(V$4&lt;=in_Spread,$K19/in_Spread,0)</f>
        <v>33885.3956</v>
      </c>
      <c r="W19" s="140">
        <f>Model!K$47*MIN(1,(W$4-$I19&gt;=1)*INDEX(Model!$D$48:$O$48,1,MAX(1,W$4-$I19))*$H19)*$O19-IF(W$4-$I19&gt;=GoLiveQ,1,0)*(in_Platform*3+in_OngoingAnnual/4)-IF(W$4&lt;=in_Spread,$K19/in_Spread,0)</f>
        <v>33885.3956</v>
      </c>
      <c r="X19" s="140">
        <f>Model!L$47*MIN(1,(X$4-$I19&gt;=1)*INDEX(Model!$D$48:$O$48,1,MAX(1,X$4-$I19))*$H19)*$O19-IF(X$4-$I19&gt;=GoLiveQ,1,0)*(in_Platform*3+in_OngoingAnnual/4)-IF(X$4&lt;=in_Spread,$K19/in_Spread,0)</f>
        <v>39023.93516</v>
      </c>
      <c r="Y19" s="140">
        <f>Model!M$47*MIN(1,(Y$4-$I19&gt;=1)*INDEX(Model!$D$48:$O$48,1,MAX(1,Y$4-$I19))*$H19)*$O19-IF(Y$4-$I19&gt;=GoLiveQ,1,0)*(in_Platform*3+in_OngoingAnnual/4)-IF(Y$4&lt;=in_Spread,$K19/in_Spread,0)</f>
        <v>39023.93516</v>
      </c>
      <c r="Z19" s="140">
        <f>Model!N$47*MIN(1,(Z$4-$I19&gt;=1)*INDEX(Model!$D$48:$O$48,1,MAX(1,Z$4-$I19))*$H19)*$O19-IF(Z$4-$I19&gt;=GoLiveQ,1,0)*(in_Platform*3+in_OngoingAnnual/4)-IF(Z$4&lt;=in_Spread,$K19/in_Spread,0)</f>
        <v>39023.93516</v>
      </c>
      <c r="AA19" s="140">
        <f>Model!O$47*MIN(1,(AA$4-$I19&gt;=1)*INDEX(Model!$D$48:$O$48,1,MAX(1,AA$4-$I19))*$H19)*$O19-IF(AA$4-$I19&gt;=GoLiveQ,1,0)*(in_Platform*3+in_OngoingAnnual/4)-IF(AA$4&lt;=in_Spread,$K19/in_Spread,0)</f>
        <v>39023.93516</v>
      </c>
      <c r="AB19" s="192">
        <f>SUMPRODUCT(P19:AA19,Model!$D$50:$O$50)</f>
        <v>118165.087822591</v>
      </c>
      <c r="AC19" s="140">
        <f>SUM(P19:AA19)</f>
        <v>168567.90684</v>
      </c>
    </row>
    <row r="20">
      <c r="B20" s="28" t="inlineStr">
        <is>
          <t>Probe am + 0.01</t>
        </is>
      </c>
      <c r="C20" s="76" t="inlineStr">
        <is>
          <t>Break-even probe base</t>
        </is>
      </c>
      <c r="D20" s="184">
        <f>Scenarios!$D$20</f>
        <v>0.92</v>
      </c>
      <c r="E20" s="184">
        <f>Scenarios!$D$21</f>
        <v>0.8</v>
      </c>
      <c r="F20" s="185">
        <f>Scenarios!$D$22</f>
        <v>8</v>
      </c>
      <c r="G20" s="184">
        <f>Scenarios!$D$23</f>
        <v>0.7</v>
      </c>
      <c r="H20" s="138">
        <f>Scenarios!$D$24+0.01</f>
        <v>1.01</v>
      </c>
      <c r="I20" s="186">
        <f>Scenarios!$D$25</f>
        <v>0</v>
      </c>
      <c r="J20" s="187">
        <f>Scenarios!$D$26</f>
        <v>0.216</v>
      </c>
      <c r="K20" s="188">
        <f>Scenarios!$D$27</f>
        <v>130000</v>
      </c>
      <c r="L20" s="189">
        <f>in_MinsToday-(E20*in_ReviewRate*(F20+(1-D20)*in_CatchRate*in_FixMins)+(1-E20)*in_MinsToday)</f>
        <v>24.784</v>
      </c>
      <c r="M20" s="190">
        <f>IF(L20&gt;0,L20*G20,L20)/60*in_HourlyCost</f>
        <v>13.0116</v>
      </c>
      <c r="N20" s="190">
        <f>in_ErrRateToday*in_ErrCostToday-(E20*(1-D20)*(1-in_ReviewRate*in_CatchRate)*in_ErrCostAI+(1-E20)*in_ErrRateToday*in_ErrCostToday)</f>
        <v>4.32</v>
      </c>
      <c r="O20" s="191">
        <f>M20+N20-J20</f>
        <v>17.1156</v>
      </c>
      <c r="P20" s="140">
        <f>Model!D$47*MIN(1,(P$4-$I20&gt;=1)*INDEX(Model!$D$48:$O$48,1,MAX(1,P$4-$I20))*$H20)*$O20-IF(P$4-$I20&gt;=GoLiveQ,1,0)*(in_Platform*3+in_OngoingAnnual/4)-IF(P$4&lt;=in_Spread,$K20/in_Spread,0)</f>
        <v>-65000</v>
      </c>
      <c r="Q20" s="140">
        <f>Model!E$47*MIN(1,(Q$4-$I20&gt;=1)*INDEX(Model!$D$48:$O$48,1,MAX(1,Q$4-$I20))*$H20)*$O20-IF(Q$4-$I20&gt;=GoLiveQ,1,0)*(in_Platform*3+in_OngoingAnnual/4)-IF(Q$4&lt;=in_Spread,$K20/in_Spread,0)</f>
        <v>-77313.9732</v>
      </c>
      <c r="R20" s="140">
        <f>Model!F$47*MIN(1,(R$4-$I20&gt;=1)*INDEX(Model!$D$48:$O$48,1,MAX(1,R$4-$I20))*$H20)*$O20-IF(R$4-$I20&gt;=GoLiveQ,1,0)*(in_Platform*3+in_OngoingAnnual/4)-IF(R$4&lt;=in_Spread,$K20/in_Spread,0)</f>
        <v>3244.1072</v>
      </c>
      <c r="S20" s="140">
        <f>Model!G$47*MIN(1,(S$4-$I20&gt;=1)*INDEX(Model!$D$48:$O$48,1,MAX(1,S$4-$I20))*$H20)*$O20-IF(S$4-$I20&gt;=GoLiveQ,1,0)*(in_Platform*3+in_OngoingAnnual/4)-IF(S$4&lt;=in_Spread,$K20/in_Spread,0)</f>
        <v>18802.1876</v>
      </c>
      <c r="T20" s="140">
        <f>Model!H$47*MIN(1,(T$4-$I20&gt;=1)*INDEX(Model!$D$48:$O$48,1,MAX(1,T$4-$I20))*$H20)*$O20-IF(T$4-$I20&gt;=GoLiveQ,1,0)*(in_Platform*3+in_OngoingAnnual/4)-IF(T$4&lt;=in_Spread,$K20/in_Spread,0)</f>
        <v>30989.35058</v>
      </c>
      <c r="U20" s="140">
        <f>Model!I$47*MIN(1,(U$4-$I20&gt;=1)*INDEX(Model!$D$48:$O$48,1,MAX(1,U$4-$I20))*$H20)*$O20-IF(U$4-$I20&gt;=GoLiveQ,1,0)*(in_Platform*3+in_OngoingAnnual/4)-IF(U$4&lt;=in_Spread,$K20/in_Spread,0)</f>
        <v>33841.66532</v>
      </c>
      <c r="V20" s="140">
        <f>Model!J$47*MIN(1,(V$4-$I20&gt;=1)*INDEX(Model!$D$48:$O$48,1,MAX(1,V$4-$I20))*$H20)*$O20-IF(V$4-$I20&gt;=GoLiveQ,1,0)*(in_Platform*3+in_OngoingAnnual/4)-IF(V$4&lt;=in_Spread,$K20/in_Spread,0)</f>
        <v>33841.66532</v>
      </c>
      <c r="W20" s="140">
        <f>Model!K$47*MIN(1,(W$4-$I20&gt;=1)*INDEX(Model!$D$48:$O$48,1,MAX(1,W$4-$I20))*$H20)*$O20-IF(W$4-$I20&gt;=GoLiveQ,1,0)*(in_Platform*3+in_OngoingAnnual/4)-IF(W$4&lt;=in_Spread,$K20/in_Spread,0)</f>
        <v>33841.66532</v>
      </c>
      <c r="X20" s="140">
        <f>Model!L$47*MIN(1,(X$4-$I20&gt;=1)*INDEX(Model!$D$48:$O$48,1,MAX(1,X$4-$I20))*$H20)*$O20-IF(X$4-$I20&gt;=GoLiveQ,1,0)*(in_Platform*3+in_OngoingAnnual/4)-IF(X$4&lt;=in_Spread,$K20/in_Spread,0)</f>
        <v>38975.831852</v>
      </c>
      <c r="Y20" s="140">
        <f>Model!M$47*MIN(1,(Y$4-$I20&gt;=1)*INDEX(Model!$D$48:$O$48,1,MAX(1,Y$4-$I20))*$H20)*$O20-IF(Y$4-$I20&gt;=GoLiveQ,1,0)*(in_Platform*3+in_OngoingAnnual/4)-IF(Y$4&lt;=in_Spread,$K20/in_Spread,0)</f>
        <v>38975.831852</v>
      </c>
      <c r="Z20" s="140">
        <f>Model!N$47*MIN(1,(Z$4-$I20&gt;=1)*INDEX(Model!$D$48:$O$48,1,MAX(1,Z$4-$I20))*$H20)*$O20-IF(Z$4-$I20&gt;=GoLiveQ,1,0)*(in_Platform*3+in_OngoingAnnual/4)-IF(Z$4&lt;=in_Spread,$K20/in_Spread,0)</f>
        <v>38975.831852</v>
      </c>
      <c r="AA20" s="140">
        <f>Model!O$47*MIN(1,(AA$4-$I20&gt;=1)*INDEX(Model!$D$48:$O$48,1,MAX(1,AA$4-$I20))*$H20)*$O20-IF(AA$4-$I20&gt;=GoLiveQ,1,0)*(in_Platform*3+in_OngoingAnnual/4)-IF(AA$4&lt;=in_Spread,$K20/in_Spread,0)</f>
        <v>38975.831852</v>
      </c>
      <c r="AB20" s="192">
        <f>SUMPRODUCT(P20:AA20,Model!$D$50:$O$50)</f>
        <v>117818.72067213</v>
      </c>
      <c r="AC20" s="140">
        <f>SUM(P20:AA20)</f>
        <v>168149.995548</v>
      </c>
    </row>
    <row r="21">
      <c r="B21" s="28" t="inlineStr">
        <is>
          <t>Probe run + 0.01</t>
        </is>
      </c>
      <c r="C21" s="76" t="inlineStr">
        <is>
          <t>Break-even probe base</t>
        </is>
      </c>
      <c r="D21" s="184">
        <f>Scenarios!$D$20</f>
        <v>0.92</v>
      </c>
      <c r="E21" s="184">
        <f>Scenarios!$D$21</f>
        <v>0.8</v>
      </c>
      <c r="F21" s="185">
        <f>Scenarios!$D$22</f>
        <v>8</v>
      </c>
      <c r="G21" s="184">
        <f>Scenarios!$D$23</f>
        <v>0.7</v>
      </c>
      <c r="H21" s="137">
        <f>Scenarios!$D$24</f>
        <v>1</v>
      </c>
      <c r="I21" s="186">
        <f>Scenarios!$D$25</f>
        <v>0</v>
      </c>
      <c r="J21" s="190">
        <f>Scenarios!$D$26+0.01</f>
        <v>0.226</v>
      </c>
      <c r="K21" s="188">
        <f>Scenarios!$D$27</f>
        <v>130000</v>
      </c>
      <c r="L21" s="189">
        <f>in_MinsToday-(E21*in_ReviewRate*(F21+(1-D21)*in_CatchRate*in_FixMins)+(1-E21)*in_MinsToday)</f>
        <v>24.784</v>
      </c>
      <c r="M21" s="190">
        <f>IF(L21&gt;0,L21*G21,L21)/60*in_HourlyCost</f>
        <v>13.0116</v>
      </c>
      <c r="N21" s="190">
        <f>in_ErrRateToday*in_ErrCostToday-(E21*(1-D21)*(1-in_ReviewRate*in_CatchRate)*in_ErrCostAI+(1-E21)*in_ErrRateToday*in_ErrCostToday)</f>
        <v>4.32</v>
      </c>
      <c r="O21" s="191">
        <f>M21+N21-J21</f>
        <v>17.1056</v>
      </c>
      <c r="P21" s="140">
        <f>Model!D$47*MIN(1,(P$4-$I21&gt;=1)*INDEX(Model!$D$48:$O$48,1,MAX(1,P$4-$I21))*$H21)*$O21-IF(P$4-$I21&gt;=GoLiveQ,1,0)*(in_Platform*3+in_OngoingAnnual/4)-IF(P$4&lt;=in_Spread,$K21/in_Spread,0)</f>
        <v>-65000</v>
      </c>
      <c r="Q21" s="140">
        <f>Model!E$47*MIN(1,(Q$4-$I21&gt;=1)*INDEX(Model!$D$48:$O$48,1,MAX(1,Q$4-$I21))*$H21)*$O21-IF(Q$4-$I21&gt;=GoLiveQ,1,0)*(in_Platform*3+in_OngoingAnnual/4)-IF(Q$4&lt;=in_Spread,$K21/in_Spread,0)</f>
        <v>-77368.32</v>
      </c>
      <c r="R21" s="140">
        <f>Model!F$47*MIN(1,(R$4-$I21&gt;=1)*INDEX(Model!$D$48:$O$48,1,MAX(1,R$4-$I21))*$H21)*$O21-IF(R$4-$I21&gt;=GoLiveQ,1,0)*(in_Platform*3+in_OngoingAnnual/4)-IF(R$4&lt;=in_Spread,$K21/in_Spread,0)</f>
        <v>3026.72000000001</v>
      </c>
      <c r="S21" s="140">
        <f>Model!G$47*MIN(1,(S$4-$I21&gt;=1)*INDEX(Model!$D$48:$O$48,1,MAX(1,S$4-$I21))*$H21)*$O21-IF(S$4-$I21&gt;=GoLiveQ,1,0)*(in_Platform*3+in_OngoingAnnual/4)-IF(S$4&lt;=in_Spread,$K21/in_Spread,0)</f>
        <v>18421.76</v>
      </c>
      <c r="T21" s="140">
        <f>Model!H$47*MIN(1,(T$4-$I21&gt;=1)*INDEX(Model!$D$48:$O$48,1,MAX(1,T$4-$I21))*$H21)*$O21-IF(T$4-$I21&gt;=GoLiveQ,1,0)*(in_Platform*3+in_OngoingAnnual/4)-IF(T$4&lt;=in_Spread,$K21/in_Spread,0)</f>
        <v>30481.208</v>
      </c>
      <c r="U21" s="140">
        <f>Model!I$47*MIN(1,(U$4-$I21&gt;=1)*INDEX(Model!$D$48:$O$48,1,MAX(1,U$4-$I21))*$H21)*$O21-IF(U$4-$I21&gt;=GoLiveQ,1,0)*(in_Platform*3+in_OngoingAnnual/4)-IF(U$4&lt;=in_Spread,$K21/in_Spread,0)</f>
        <v>33303.632</v>
      </c>
      <c r="V21" s="140">
        <f>Model!J$47*MIN(1,(V$4-$I21&gt;=1)*INDEX(Model!$D$48:$O$48,1,MAX(1,V$4-$I21))*$H21)*$O21-IF(V$4-$I21&gt;=GoLiveQ,1,0)*(in_Platform*3+in_OngoingAnnual/4)-IF(V$4&lt;=in_Spread,$K21/in_Spread,0)</f>
        <v>33303.632</v>
      </c>
      <c r="W21" s="140">
        <f>Model!K$47*MIN(1,(W$4-$I21&gt;=1)*INDEX(Model!$D$48:$O$48,1,MAX(1,W$4-$I21))*$H21)*$O21-IF(W$4-$I21&gt;=GoLiveQ,1,0)*(in_Platform*3+in_OngoingAnnual/4)-IF(W$4&lt;=in_Spread,$K21/in_Spread,0)</f>
        <v>33303.632</v>
      </c>
      <c r="X21" s="140">
        <f>Model!L$47*MIN(1,(X$4-$I21&gt;=1)*INDEX(Model!$D$48:$O$48,1,MAX(1,X$4-$I21))*$H21)*$O21-IF(X$4-$I21&gt;=GoLiveQ,1,0)*(in_Platform*3+in_OngoingAnnual/4)-IF(X$4&lt;=in_Spread,$K21/in_Spread,0)</f>
        <v>38383.9952</v>
      </c>
      <c r="Y21" s="140">
        <f>Model!M$47*MIN(1,(Y$4-$I21&gt;=1)*INDEX(Model!$D$48:$O$48,1,MAX(1,Y$4-$I21))*$H21)*$O21-IF(Y$4-$I21&gt;=GoLiveQ,1,0)*(in_Platform*3+in_OngoingAnnual/4)-IF(Y$4&lt;=in_Spread,$K21/in_Spread,0)</f>
        <v>38383.9952</v>
      </c>
      <c r="Z21" s="140">
        <f>Model!N$47*MIN(1,(Z$4-$I21&gt;=1)*INDEX(Model!$D$48:$O$48,1,MAX(1,Z$4-$I21))*$H21)*$O21-IF(Z$4-$I21&gt;=GoLiveQ,1,0)*(in_Platform*3+in_OngoingAnnual/4)-IF(Z$4&lt;=in_Spread,$K21/in_Spread,0)</f>
        <v>38383.9952</v>
      </c>
      <c r="AA21" s="140">
        <f>Model!O$47*MIN(1,(AA$4-$I21&gt;=1)*INDEX(Model!$D$48:$O$48,1,MAX(1,AA$4-$I21))*$H21)*$O21-IF(AA$4-$I21&gt;=GoLiveQ,1,0)*(in_Platform*3+in_OngoingAnnual/4)-IF(AA$4&lt;=in_Spread,$K21/in_Spread,0)</f>
        <v>38383.9952</v>
      </c>
      <c r="AB21" s="192">
        <f>SUMPRODUCT(P21:AA21,Model!$D$50:$O$50)</f>
        <v>113557.209703044</v>
      </c>
      <c r="AC21" s="140">
        <f>SUM(P21:AA21)</f>
        <v>163008.2448</v>
      </c>
    </row>
    <row r="22">
      <c r="B22" s="28" t="inlineStr">
        <is>
          <t>Probe one + 1000</t>
        </is>
      </c>
      <c r="C22" s="76" t="inlineStr">
        <is>
          <t>Break-even probe base</t>
        </is>
      </c>
      <c r="D22" s="184">
        <f>Scenarios!$D$20</f>
        <v>0.92</v>
      </c>
      <c r="E22" s="184">
        <f>Scenarios!$D$21</f>
        <v>0.8</v>
      </c>
      <c r="F22" s="185">
        <f>Scenarios!$D$22</f>
        <v>8</v>
      </c>
      <c r="G22" s="184">
        <f>Scenarios!$D$23</f>
        <v>0.7</v>
      </c>
      <c r="H22" s="137">
        <f>Scenarios!$D$24</f>
        <v>1</v>
      </c>
      <c r="I22" s="186">
        <f>Scenarios!$D$25</f>
        <v>0</v>
      </c>
      <c r="J22" s="187">
        <f>Scenarios!$D$26</f>
        <v>0.216</v>
      </c>
      <c r="K22" s="140">
        <f>Scenarios!$D$27+1000</f>
        <v>131000</v>
      </c>
      <c r="L22" s="189">
        <f>in_MinsToday-(E22*in_ReviewRate*(F22+(1-D22)*in_CatchRate*in_FixMins)+(1-E22)*in_MinsToday)</f>
        <v>24.784</v>
      </c>
      <c r="M22" s="190">
        <f>IF(L22&gt;0,L22*G22,L22)/60*in_HourlyCost</f>
        <v>13.0116</v>
      </c>
      <c r="N22" s="190">
        <f>in_ErrRateToday*in_ErrCostToday-(E22*(1-D22)*(1-in_ReviewRate*in_CatchRate)*in_ErrCostAI+(1-E22)*in_ErrRateToday*in_ErrCostToday)</f>
        <v>4.32</v>
      </c>
      <c r="O22" s="191">
        <f>M22+N22-J22</f>
        <v>17.1156</v>
      </c>
      <c r="P22" s="140">
        <f>Model!D$47*MIN(1,(P$4-$I22&gt;=1)*INDEX(Model!$D$48:$O$48,1,MAX(1,P$4-$I22))*$H22)*$O22-IF(P$4-$I22&gt;=GoLiveQ,1,0)*(in_Platform*3+in_OngoingAnnual/4)-IF(P$4&lt;=in_Spread,$K22/in_Spread,0)</f>
        <v>-65500</v>
      </c>
      <c r="Q22" s="140">
        <f>Model!E$47*MIN(1,(Q$4-$I22&gt;=1)*INDEX(Model!$D$48:$O$48,1,MAX(1,Q$4-$I22))*$H22)*$O22-IF(Q$4-$I22&gt;=GoLiveQ,1,0)*(in_Platform*3+in_OngoingAnnual/4)-IF(Q$4&lt;=in_Spread,$K22/in_Spread,0)</f>
        <v>-77865.32</v>
      </c>
      <c r="R22" s="140">
        <f>Model!F$47*MIN(1,(R$4-$I22&gt;=1)*INDEX(Model!$D$48:$O$48,1,MAX(1,R$4-$I22))*$H22)*$O22-IF(R$4-$I22&gt;=GoLiveQ,1,0)*(in_Platform*3+in_OngoingAnnual/4)-IF(R$4&lt;=in_Spread,$K22/in_Spread,0)</f>
        <v>3038.72</v>
      </c>
      <c r="S22" s="140">
        <f>Model!G$47*MIN(1,(S$4-$I22&gt;=1)*INDEX(Model!$D$48:$O$48,1,MAX(1,S$4-$I22))*$H22)*$O22-IF(S$4-$I22&gt;=GoLiveQ,1,0)*(in_Platform*3+in_OngoingAnnual/4)-IF(S$4&lt;=in_Spread,$K22/in_Spread,0)</f>
        <v>18442.76</v>
      </c>
      <c r="T22" s="140">
        <f>Model!H$47*MIN(1,(T$4-$I22&gt;=1)*INDEX(Model!$D$48:$O$48,1,MAX(1,T$4-$I22))*$H22)*$O22-IF(T$4-$I22&gt;=GoLiveQ,1,0)*(in_Platform*3+in_OngoingAnnual/4)-IF(T$4&lt;=in_Spread,$K22/in_Spread,0)</f>
        <v>30509.258</v>
      </c>
      <c r="U22" s="140">
        <f>Model!I$47*MIN(1,(U$4-$I22&gt;=1)*INDEX(Model!$D$48:$O$48,1,MAX(1,U$4-$I22))*$H22)*$O22-IF(U$4-$I22&gt;=GoLiveQ,1,0)*(in_Platform*3+in_OngoingAnnual/4)-IF(U$4&lt;=in_Spread,$K22/in_Spread,0)</f>
        <v>33333.332</v>
      </c>
      <c r="V22" s="140">
        <f>Model!J$47*MIN(1,(V$4-$I22&gt;=1)*INDEX(Model!$D$48:$O$48,1,MAX(1,V$4-$I22))*$H22)*$O22-IF(V$4-$I22&gt;=GoLiveQ,1,0)*(in_Platform*3+in_OngoingAnnual/4)-IF(V$4&lt;=in_Spread,$K22/in_Spread,0)</f>
        <v>33333.332</v>
      </c>
      <c r="W22" s="140">
        <f>Model!K$47*MIN(1,(W$4-$I22&gt;=1)*INDEX(Model!$D$48:$O$48,1,MAX(1,W$4-$I22))*$H22)*$O22-IF(W$4-$I22&gt;=GoLiveQ,1,0)*(in_Platform*3+in_OngoingAnnual/4)-IF(W$4&lt;=in_Spread,$K22/in_Spread,0)</f>
        <v>33333.332</v>
      </c>
      <c r="X22" s="140">
        <f>Model!L$47*MIN(1,(X$4-$I22&gt;=1)*INDEX(Model!$D$48:$O$48,1,MAX(1,X$4-$I22))*$H22)*$O22-IF(X$4-$I22&gt;=GoLiveQ,1,0)*(in_Platform*3+in_OngoingAnnual/4)-IF(X$4&lt;=in_Spread,$K22/in_Spread,0)</f>
        <v>38416.6652</v>
      </c>
      <c r="Y22" s="140">
        <f>Model!M$47*MIN(1,(Y$4-$I22&gt;=1)*INDEX(Model!$D$48:$O$48,1,MAX(1,Y$4-$I22))*$H22)*$O22-IF(Y$4-$I22&gt;=GoLiveQ,1,0)*(in_Platform*3+in_OngoingAnnual/4)-IF(Y$4&lt;=in_Spread,$K22/in_Spread,0)</f>
        <v>38416.6652</v>
      </c>
      <c r="Z22" s="140">
        <f>Model!N$47*MIN(1,(Z$4-$I22&gt;=1)*INDEX(Model!$D$48:$O$48,1,MAX(1,Z$4-$I22))*$H22)*$O22-IF(Z$4-$I22&gt;=GoLiveQ,1,0)*(in_Platform*3+in_OngoingAnnual/4)-IF(Z$4&lt;=in_Spread,$K22/in_Spread,0)</f>
        <v>38416.6652</v>
      </c>
      <c r="AA22" s="140">
        <f>Model!O$47*MIN(1,(AA$4-$I22&gt;=1)*INDEX(Model!$D$48:$O$48,1,MAX(1,AA$4-$I22))*$H22)*$O22-IF(AA$4-$I22&gt;=GoLiveQ,1,0)*(in_Platform*3+in_OngoingAnnual/4)-IF(AA$4&lt;=in_Spread,$K22/in_Spread,0)</f>
        <v>38416.6652</v>
      </c>
      <c r="AB22" s="192">
        <f>SUMPRODUCT(P22:AA22,Model!$D$50:$O$50)</f>
        <v>112827.491210405</v>
      </c>
      <c r="AC22" s="140">
        <f>SUM(P22:AA22)</f>
        <v>162292.0748</v>
      </c>
    </row>
    <row r="23">
      <c r="B23" s="28" t="inlineStr">
        <is>
          <t>Check acc at break-even</t>
        </is>
      </c>
      <c r="C23" s="76" t="inlineStr">
        <is>
          <t>Break-even check selected</t>
        </is>
      </c>
      <c r="D23" s="193">
        <f>IF(ISNUMBER(L82),L82,D82)</f>
        <v>0.803029988325633</v>
      </c>
      <c r="E23" s="184">
        <f>Scenarios!$F$21</f>
        <v>0.8</v>
      </c>
      <c r="F23" s="185">
        <f>Scenarios!$F$22</f>
        <v>8</v>
      </c>
      <c r="G23" s="184">
        <f>Scenarios!$F$23</f>
        <v>0.7</v>
      </c>
      <c r="H23" s="137">
        <f>Scenarios!$F$24</f>
        <v>1</v>
      </c>
      <c r="I23" s="186">
        <f>Scenarios!$F$25</f>
        <v>0</v>
      </c>
      <c r="J23" s="187">
        <f>Scenarios!$F$26</f>
        <v>0.216</v>
      </c>
      <c r="K23" s="188">
        <f>Scenarios!$F$27</f>
        <v>130000</v>
      </c>
      <c r="L23" s="189">
        <f>in_MinsToday-(E23*in_ReviewRate*(F23+(1-D23)*in_CatchRate*in_FixMins)+(1-E23)*in_MinsToday)</f>
        <v>23.5909058809215</v>
      </c>
      <c r="M23" s="190">
        <f>IF(L23&gt;0,L23*G23,L23)/60*in_HourlyCost</f>
        <v>12.3852255874838</v>
      </c>
      <c r="N23" s="190">
        <f>in_ErrRateToday*in_ErrCostToday-(E23*(1-D23)*(1-in_ReviewRate*in_CatchRate)*in_ErrCostAI+(1-E23)*in_ErrRateToday*in_ErrCostToday)</f>
        <v>0.109079579722771</v>
      </c>
      <c r="O23" s="191">
        <f>M23+N23-J23</f>
        <v>12.2783051672065</v>
      </c>
      <c r="P23" s="140">
        <f>Model!D$47*MIN(1,(P$4-$I23&gt;=1)*INDEX(Model!$D$48:$O$48,1,MAX(1,P$4-$I23))*$H23)*$O23-IF(P$4-$I23&gt;=GoLiveQ,1,0)*(in_Platform*3+in_OngoingAnnual/4)-IF(P$4&lt;=in_Spread,$K23/in_Spread,0)</f>
        <v>-65000</v>
      </c>
      <c r="Q23" s="140">
        <f>Model!E$47*MIN(1,(Q$4-$I23&gt;=1)*INDEX(Model!$D$48:$O$48,1,MAX(1,Q$4-$I23))*$H23)*$O23-IF(Q$4-$I23&gt;=GoLiveQ,1,0)*(in_Platform*3+in_OngoingAnnual/4)-IF(Q$4&lt;=in_Spread,$K23/in_Spread,0)</f>
        <v>-78816.508449838</v>
      </c>
      <c r="R23" s="140">
        <f>Model!F$47*MIN(1,(R$4-$I23&gt;=1)*INDEX(Model!$D$48:$O$48,1,MAX(1,R$4-$I23))*$H23)*$O23-IF(R$4-$I23&gt;=GoLiveQ,1,0)*(in_Platform*3+in_OngoingAnnual/4)-IF(R$4&lt;=in_Spread,$K23/in_Spread,0)</f>
        <v>-2766.03379935216</v>
      </c>
      <c r="S23" s="140">
        <f>Model!G$47*MIN(1,(S$4-$I23&gt;=1)*INDEX(Model!$D$48:$O$48,1,MAX(1,S$4-$I23))*$H23)*$O23-IF(S$4-$I23&gt;=GoLiveQ,1,0)*(in_Platform*3+in_OngoingAnnual/4)-IF(S$4&lt;=in_Spread,$K23/in_Spread,0)</f>
        <v>8284.44085113372</v>
      </c>
      <c r="T23" s="140">
        <f>Model!H$47*MIN(1,(T$4-$I23&gt;=1)*INDEX(Model!$D$48:$O$48,1,MAX(1,T$4-$I23))*$H23)*$O23-IF(T$4-$I23&gt;=GoLiveQ,1,0)*(in_Platform*3+in_OngoingAnnual/4)-IF(T$4&lt;=in_Spread,$K23/in_Spread,0)</f>
        <v>16940.6459940143</v>
      </c>
      <c r="U23" s="140">
        <f>Model!I$47*MIN(1,(U$4-$I23&gt;=1)*INDEX(Model!$D$48:$O$48,1,MAX(1,U$4-$I23))*$H23)*$O23-IF(U$4-$I23&gt;=GoLiveQ,1,0)*(in_Platform*3+in_OngoingAnnual/4)-IF(U$4&lt;=in_Spread,$K23/in_Spread,0)</f>
        <v>18966.5663466034</v>
      </c>
      <c r="V23" s="140">
        <f>Model!J$47*MIN(1,(V$4-$I23&gt;=1)*INDEX(Model!$D$48:$O$48,1,MAX(1,V$4-$I23))*$H23)*$O23-IF(V$4-$I23&gt;=GoLiveQ,1,0)*(in_Platform*3+in_OngoingAnnual/4)-IF(V$4&lt;=in_Spread,$K23/in_Spread,0)</f>
        <v>18966.5663466034</v>
      </c>
      <c r="W23" s="140">
        <f>Model!K$47*MIN(1,(W$4-$I23&gt;=1)*INDEX(Model!$D$48:$O$48,1,MAX(1,W$4-$I23))*$H23)*$O23-IF(W$4-$I23&gt;=GoLiveQ,1,0)*(in_Platform*3+in_OngoingAnnual/4)-IF(W$4&lt;=in_Spread,$K23/in_Spread,0)</f>
        <v>18966.5663466034</v>
      </c>
      <c r="X23" s="140">
        <f>Model!L$47*MIN(1,(X$4-$I23&gt;=1)*INDEX(Model!$D$48:$O$48,1,MAX(1,X$4-$I23))*$H23)*$O23-IF(X$4-$I23&gt;=GoLiveQ,1,0)*(in_Platform*3+in_OngoingAnnual/4)-IF(X$4&lt;=in_Spread,$K23/in_Spread,0)</f>
        <v>22613.2229812638</v>
      </c>
      <c r="Y23" s="140">
        <f>Model!M$47*MIN(1,(Y$4-$I23&gt;=1)*INDEX(Model!$D$48:$O$48,1,MAX(1,Y$4-$I23))*$H23)*$O23-IF(Y$4-$I23&gt;=GoLiveQ,1,0)*(in_Platform*3+in_OngoingAnnual/4)-IF(Y$4&lt;=in_Spread,$K23/in_Spread,0)</f>
        <v>22613.2229812638</v>
      </c>
      <c r="Z23" s="140">
        <f>Model!N$47*MIN(1,(Z$4-$I23&gt;=1)*INDEX(Model!$D$48:$O$48,1,MAX(1,Z$4-$I23))*$H23)*$O23-IF(Z$4-$I23&gt;=GoLiveQ,1,0)*(in_Platform*3+in_OngoingAnnual/4)-IF(Z$4&lt;=in_Spread,$K23/in_Spread,0)</f>
        <v>22613.2229812638</v>
      </c>
      <c r="AA23" s="140">
        <f>Model!O$47*MIN(1,(AA$4-$I23&gt;=1)*INDEX(Model!$D$48:$O$48,1,MAX(1,AA$4-$I23))*$H23)*$O23-IF(AA$4-$I23&gt;=GoLiveQ,1,0)*(in_Platform*3+in_OngoingAnnual/4)-IF(AA$4&lt;=in_Spread,$K23/in_Spread,0)</f>
        <v>22613.2229812638</v>
      </c>
      <c r="AB23" s="192">
        <f>SUMPRODUCT(P23:AA23,Model!$D$50:$O$50)</f>
        <v>1.65073288371786e-10</v>
      </c>
      <c r="AC23" s="140">
        <f>SUM(P23:AA23)</f>
        <v>25995.1355608232</v>
      </c>
    </row>
    <row r="24">
      <c r="B24" s="28" t="inlineStr">
        <is>
          <t>Check h at break-even</t>
        </is>
      </c>
      <c r="C24" s="76" t="inlineStr">
        <is>
          <t>Break-even check selected</t>
        </is>
      </c>
      <c r="D24" s="184">
        <f>Scenarios!$F$20</f>
        <v>0.92</v>
      </c>
      <c r="E24" s="193">
        <f>IF(ISNUMBER(L83),L83,D83)</f>
        <v>0.576717910277482</v>
      </c>
      <c r="F24" s="185">
        <f>Scenarios!$F$22</f>
        <v>8</v>
      </c>
      <c r="G24" s="184">
        <f>Scenarios!$F$23</f>
        <v>0.7</v>
      </c>
      <c r="H24" s="137">
        <f>Scenarios!$F$24</f>
        <v>1</v>
      </c>
      <c r="I24" s="186">
        <f>Scenarios!$F$25</f>
        <v>0</v>
      </c>
      <c r="J24" s="187">
        <f>Scenarios!$F$26</f>
        <v>0.216</v>
      </c>
      <c r="K24" s="188">
        <f>Scenarios!$F$27</f>
        <v>130000</v>
      </c>
      <c r="L24" s="189">
        <f>in_MinsToday-(E24*in_ReviewRate*(F24+(1-D24)*in_CatchRate*in_FixMins)+(1-E24)*in_MinsToday)</f>
        <v>17.8667208603964</v>
      </c>
      <c r="M24" s="190">
        <f>IF(L24&gt;0,L24*G24,L24)/60*in_HourlyCost</f>
        <v>9.38002845170811</v>
      </c>
      <c r="N24" s="190">
        <f>in_ErrRateToday*in_ErrCostToday-(E24*(1-D24)*(1-in_ReviewRate*in_CatchRate)*in_ErrCostAI+(1-E24)*in_ErrRateToday*in_ErrCostToday)</f>
        <v>3.11427671549841</v>
      </c>
      <c r="O24" s="191">
        <f>M24+N24-J24</f>
        <v>12.2783051672065</v>
      </c>
      <c r="P24" s="140">
        <f>Model!D$47*MIN(1,(P$4-$I24&gt;=1)*INDEX(Model!$D$48:$O$48,1,MAX(1,P$4-$I24))*$H24)*$O24-IF(P$4-$I24&gt;=GoLiveQ,1,0)*(in_Platform*3+in_OngoingAnnual/4)-IF(P$4&lt;=in_Spread,$K24/in_Spread,0)</f>
        <v>-65000</v>
      </c>
      <c r="Q24" s="140">
        <f>Model!E$47*MIN(1,(Q$4-$I24&gt;=1)*INDEX(Model!$D$48:$O$48,1,MAX(1,Q$4-$I24))*$H24)*$O24-IF(Q$4-$I24&gt;=GoLiveQ,1,0)*(in_Platform*3+in_OngoingAnnual/4)-IF(Q$4&lt;=in_Spread,$K24/in_Spread,0)</f>
        <v>-78816.5084498381</v>
      </c>
      <c r="R24" s="140">
        <f>Model!F$47*MIN(1,(R$4-$I24&gt;=1)*INDEX(Model!$D$48:$O$48,1,MAX(1,R$4-$I24))*$H24)*$O24-IF(R$4-$I24&gt;=GoLiveQ,1,0)*(in_Platform*3+in_OngoingAnnual/4)-IF(R$4&lt;=in_Spread,$K24/in_Spread,0)</f>
        <v>-2766.03379935218</v>
      </c>
      <c r="S24" s="140">
        <f>Model!G$47*MIN(1,(S$4-$I24&gt;=1)*INDEX(Model!$D$48:$O$48,1,MAX(1,S$4-$I24))*$H24)*$O24-IF(S$4-$I24&gt;=GoLiveQ,1,0)*(in_Platform*3+in_OngoingAnnual/4)-IF(S$4&lt;=in_Spread,$K24/in_Spread,0)</f>
        <v>8284.44085113368</v>
      </c>
      <c r="T24" s="140">
        <f>Model!H$47*MIN(1,(T$4-$I24&gt;=1)*INDEX(Model!$D$48:$O$48,1,MAX(1,T$4-$I24))*$H24)*$O24-IF(T$4-$I24&gt;=GoLiveQ,1,0)*(in_Platform*3+in_OngoingAnnual/4)-IF(T$4&lt;=in_Spread,$K24/in_Spread,0)</f>
        <v>16940.6459940143</v>
      </c>
      <c r="U24" s="140">
        <f>Model!I$47*MIN(1,(U$4-$I24&gt;=1)*INDEX(Model!$D$48:$O$48,1,MAX(1,U$4-$I24))*$H24)*$O24-IF(U$4-$I24&gt;=GoLiveQ,1,0)*(in_Platform*3+in_OngoingAnnual/4)-IF(U$4&lt;=in_Spread,$K24/in_Spread,0)</f>
        <v>18966.5663466034</v>
      </c>
      <c r="V24" s="140">
        <f>Model!J$47*MIN(1,(V$4-$I24&gt;=1)*INDEX(Model!$D$48:$O$48,1,MAX(1,V$4-$I24))*$H24)*$O24-IF(V$4-$I24&gt;=GoLiveQ,1,0)*(in_Platform*3+in_OngoingAnnual/4)-IF(V$4&lt;=in_Spread,$K24/in_Spread,0)</f>
        <v>18966.5663466034</v>
      </c>
      <c r="W24" s="140">
        <f>Model!K$47*MIN(1,(W$4-$I24&gt;=1)*INDEX(Model!$D$48:$O$48,1,MAX(1,W$4-$I24))*$H24)*$O24-IF(W$4-$I24&gt;=GoLiveQ,1,0)*(in_Platform*3+in_OngoingAnnual/4)-IF(W$4&lt;=in_Spread,$K24/in_Spread,0)</f>
        <v>18966.5663466034</v>
      </c>
      <c r="X24" s="140">
        <f>Model!L$47*MIN(1,(X$4-$I24&gt;=1)*INDEX(Model!$D$48:$O$48,1,MAX(1,X$4-$I24))*$H24)*$O24-IF(X$4-$I24&gt;=GoLiveQ,1,0)*(in_Platform*3+in_OngoingAnnual/4)-IF(X$4&lt;=in_Spread,$K24/in_Spread,0)</f>
        <v>22613.2229812637</v>
      </c>
      <c r="Y24" s="140">
        <f>Model!M$47*MIN(1,(Y$4-$I24&gt;=1)*INDEX(Model!$D$48:$O$48,1,MAX(1,Y$4-$I24))*$H24)*$O24-IF(Y$4-$I24&gt;=GoLiveQ,1,0)*(in_Platform*3+in_OngoingAnnual/4)-IF(Y$4&lt;=in_Spread,$K24/in_Spread,0)</f>
        <v>22613.2229812637</v>
      </c>
      <c r="Z24" s="140">
        <f>Model!N$47*MIN(1,(Z$4-$I24&gt;=1)*INDEX(Model!$D$48:$O$48,1,MAX(1,Z$4-$I24))*$H24)*$O24-IF(Z$4-$I24&gt;=GoLiveQ,1,0)*(in_Platform*3+in_OngoingAnnual/4)-IF(Z$4&lt;=in_Spread,$K24/in_Spread,0)</f>
        <v>22613.2229812637</v>
      </c>
      <c r="AA24" s="140">
        <f>Model!O$47*MIN(1,(AA$4-$I24&gt;=1)*INDEX(Model!$D$48:$O$48,1,MAX(1,AA$4-$I24))*$H24)*$O24-IF(AA$4-$I24&gt;=GoLiveQ,1,0)*(in_Platform*3+in_OngoingAnnual/4)-IF(AA$4&lt;=in_Spread,$K24/in_Spread,0)</f>
        <v>22613.2229812637</v>
      </c>
      <c r="AB24" s="192">
        <f>SUMPRODUCT(P24:AA24,Model!$D$50:$O$50)</f>
        <v>-3.6652636481449e-10</v>
      </c>
      <c r="AC24" s="140">
        <f>SUM(P24:AA24)</f>
        <v>25995.1355608225</v>
      </c>
    </row>
    <row r="25">
      <c r="B25" s="28" t="inlineStr">
        <is>
          <t>Check m1 at break-even</t>
        </is>
      </c>
      <c r="C25" s="76" t="inlineStr">
        <is>
          <t>Break-even check selected</t>
        </is>
      </c>
      <c r="D25" s="184">
        <f>Scenarios!$F$20</f>
        <v>0.92</v>
      </c>
      <c r="E25" s="184">
        <f>Scenarios!$F$21</f>
        <v>0.8</v>
      </c>
      <c r="F25" s="194">
        <f>IF(ISNUMBER(L84),L84,D84)</f>
        <v>19.5173686495083</v>
      </c>
      <c r="G25" s="184">
        <f>Scenarios!$F$23</f>
        <v>0.7</v>
      </c>
      <c r="H25" s="137">
        <f>Scenarios!$F$24</f>
        <v>1</v>
      </c>
      <c r="I25" s="186">
        <f>Scenarios!$F$25</f>
        <v>0</v>
      </c>
      <c r="J25" s="187">
        <f>Scenarios!$F$26</f>
        <v>0.216</v>
      </c>
      <c r="K25" s="188">
        <f>Scenarios!$F$27</f>
        <v>130000</v>
      </c>
      <c r="L25" s="189">
        <f>in_MinsToday-(E25*in_ReviewRate*(F25+(1-D25)*in_CatchRate*in_FixMins)+(1-E25)*in_MinsToday)</f>
        <v>15.5701050803934</v>
      </c>
      <c r="M25" s="190">
        <f>IF(L25&gt;0,L25*G25,L25)/60*in_HourlyCost</f>
        <v>8.17430516720651</v>
      </c>
      <c r="N25" s="190">
        <f>in_ErrRateToday*in_ErrCostToday-(E25*(1-D25)*(1-in_ReviewRate*in_CatchRate)*in_ErrCostAI+(1-E25)*in_ErrRateToday*in_ErrCostToday)</f>
        <v>4.32</v>
      </c>
      <c r="O25" s="191">
        <f>M25+N25-J25</f>
        <v>12.2783051672065</v>
      </c>
      <c r="P25" s="140">
        <f>Model!D$47*MIN(1,(P$4-$I25&gt;=1)*INDEX(Model!$D$48:$O$48,1,MAX(1,P$4-$I25))*$H25)*$O25-IF(P$4-$I25&gt;=GoLiveQ,1,0)*(in_Platform*3+in_OngoingAnnual/4)-IF(P$4&lt;=in_Spread,$K25/in_Spread,0)</f>
        <v>-65000</v>
      </c>
      <c r="Q25" s="140">
        <f>Model!E$47*MIN(1,(Q$4-$I25&gt;=1)*INDEX(Model!$D$48:$O$48,1,MAX(1,Q$4-$I25))*$H25)*$O25-IF(Q$4-$I25&gt;=GoLiveQ,1,0)*(in_Platform*3+in_OngoingAnnual/4)-IF(Q$4&lt;=in_Spread,$K25/in_Spread,0)</f>
        <v>-78816.5084498381</v>
      </c>
      <c r="R25" s="140">
        <f>Model!F$47*MIN(1,(R$4-$I25&gt;=1)*INDEX(Model!$D$48:$O$48,1,MAX(1,R$4-$I25))*$H25)*$O25-IF(R$4-$I25&gt;=GoLiveQ,1,0)*(in_Platform*3+in_OngoingAnnual/4)-IF(R$4&lt;=in_Spread,$K25/in_Spread,0)</f>
        <v>-2766.03379935218</v>
      </c>
      <c r="S25" s="140">
        <f>Model!G$47*MIN(1,(S$4-$I25&gt;=1)*INDEX(Model!$D$48:$O$48,1,MAX(1,S$4-$I25))*$H25)*$O25-IF(S$4-$I25&gt;=GoLiveQ,1,0)*(in_Platform*3+in_OngoingAnnual/4)-IF(S$4&lt;=in_Spread,$K25/in_Spread,0)</f>
        <v>8284.44085113368</v>
      </c>
      <c r="T25" s="140">
        <f>Model!H$47*MIN(1,(T$4-$I25&gt;=1)*INDEX(Model!$D$48:$O$48,1,MAX(1,T$4-$I25))*$H25)*$O25-IF(T$4-$I25&gt;=GoLiveQ,1,0)*(in_Platform*3+in_OngoingAnnual/4)-IF(T$4&lt;=in_Spread,$K25/in_Spread,0)</f>
        <v>16940.6459940143</v>
      </c>
      <c r="U25" s="140">
        <f>Model!I$47*MIN(1,(U$4-$I25&gt;=1)*INDEX(Model!$D$48:$O$48,1,MAX(1,U$4-$I25))*$H25)*$O25-IF(U$4-$I25&gt;=GoLiveQ,1,0)*(in_Platform*3+in_OngoingAnnual/4)-IF(U$4&lt;=in_Spread,$K25/in_Spread,0)</f>
        <v>18966.5663466034</v>
      </c>
      <c r="V25" s="140">
        <f>Model!J$47*MIN(1,(V$4-$I25&gt;=1)*INDEX(Model!$D$48:$O$48,1,MAX(1,V$4-$I25))*$H25)*$O25-IF(V$4-$I25&gt;=GoLiveQ,1,0)*(in_Platform*3+in_OngoingAnnual/4)-IF(V$4&lt;=in_Spread,$K25/in_Spread,0)</f>
        <v>18966.5663466034</v>
      </c>
      <c r="W25" s="140">
        <f>Model!K$47*MIN(1,(W$4-$I25&gt;=1)*INDEX(Model!$D$48:$O$48,1,MAX(1,W$4-$I25))*$H25)*$O25-IF(W$4-$I25&gt;=GoLiveQ,1,0)*(in_Platform*3+in_OngoingAnnual/4)-IF(W$4&lt;=in_Spread,$K25/in_Spread,0)</f>
        <v>18966.5663466034</v>
      </c>
      <c r="X25" s="140">
        <f>Model!L$47*MIN(1,(X$4-$I25&gt;=1)*INDEX(Model!$D$48:$O$48,1,MAX(1,X$4-$I25))*$H25)*$O25-IF(X$4-$I25&gt;=GoLiveQ,1,0)*(in_Platform*3+in_OngoingAnnual/4)-IF(X$4&lt;=in_Spread,$K25/in_Spread,0)</f>
        <v>22613.2229812637</v>
      </c>
      <c r="Y25" s="140">
        <f>Model!M$47*MIN(1,(Y$4-$I25&gt;=1)*INDEX(Model!$D$48:$O$48,1,MAX(1,Y$4-$I25))*$H25)*$O25-IF(Y$4-$I25&gt;=GoLiveQ,1,0)*(in_Platform*3+in_OngoingAnnual/4)-IF(Y$4&lt;=in_Spread,$K25/in_Spread,0)</f>
        <v>22613.2229812637</v>
      </c>
      <c r="Z25" s="140">
        <f>Model!N$47*MIN(1,(Z$4-$I25&gt;=1)*INDEX(Model!$D$48:$O$48,1,MAX(1,Z$4-$I25))*$H25)*$O25-IF(Z$4-$I25&gt;=GoLiveQ,1,0)*(in_Platform*3+in_OngoingAnnual/4)-IF(Z$4&lt;=in_Spread,$K25/in_Spread,0)</f>
        <v>22613.2229812637</v>
      </c>
      <c r="AA25" s="140">
        <f>Model!O$47*MIN(1,(AA$4-$I25&gt;=1)*INDEX(Model!$D$48:$O$48,1,MAX(1,AA$4-$I25))*$H25)*$O25-IF(AA$4-$I25&gt;=GoLiveQ,1,0)*(in_Platform*3+in_OngoingAnnual/4)-IF(AA$4&lt;=in_Spread,$K25/in_Spread,0)</f>
        <v>22613.2229812637</v>
      </c>
      <c r="AB25" s="192">
        <f>SUMPRODUCT(P25:AA25,Model!$D$50:$O$50)</f>
        <v>-3.6652636481449e-10</v>
      </c>
      <c r="AC25" s="140">
        <f>SUM(P25:AA25)</f>
        <v>25995.1355608225</v>
      </c>
    </row>
    <row r="26">
      <c r="B26" s="28" t="inlineStr">
        <is>
          <t>Check rho at break-even</t>
        </is>
      </c>
      <c r="C26" s="76" t="inlineStr">
        <is>
          <t>Break-even check selected</t>
        </is>
      </c>
      <c r="D26" s="184">
        <f>Scenarios!$F$20</f>
        <v>0.92</v>
      </c>
      <c r="E26" s="184">
        <f>Scenarios!$F$21</f>
        <v>0.8</v>
      </c>
      <c r="F26" s="185">
        <f>Scenarios!$F$22</f>
        <v>8</v>
      </c>
      <c r="G26" s="193">
        <f>IF(ISNUMBER(L85),L85,D85)</f>
        <v>0.439762490166051</v>
      </c>
      <c r="H26" s="137">
        <f>Scenarios!$F$24</f>
        <v>1</v>
      </c>
      <c r="I26" s="186">
        <f>Scenarios!$F$25</f>
        <v>0</v>
      </c>
      <c r="J26" s="187">
        <f>Scenarios!$F$26</f>
        <v>0.216</v>
      </c>
      <c r="K26" s="188">
        <f>Scenarios!$F$27</f>
        <v>130000</v>
      </c>
      <c r="L26" s="189">
        <f>in_MinsToday-(E26*in_ReviewRate*(F26+(1-D26)*in_CatchRate*in_FixMins)+(1-E26)*in_MinsToday)</f>
        <v>24.784</v>
      </c>
      <c r="M26" s="190">
        <f>IF(L26&gt;0,L26*G26,L26)/60*in_HourlyCost</f>
        <v>8.17430516720656</v>
      </c>
      <c r="N26" s="190">
        <f>in_ErrRateToday*in_ErrCostToday-(E26*(1-D26)*(1-in_ReviewRate*in_CatchRate)*in_ErrCostAI+(1-E26)*in_ErrRateToday*in_ErrCostToday)</f>
        <v>4.32</v>
      </c>
      <c r="O26" s="191">
        <f>M26+N26-J26</f>
        <v>12.2783051672066</v>
      </c>
      <c r="P26" s="140">
        <f>Model!D$47*MIN(1,(P$4-$I26&gt;=1)*INDEX(Model!$D$48:$O$48,1,MAX(1,P$4-$I26))*$H26)*$O26-IF(P$4-$I26&gt;=GoLiveQ,1,0)*(in_Platform*3+in_OngoingAnnual/4)-IF(P$4&lt;=in_Spread,$K26/in_Spread,0)</f>
        <v>-65000</v>
      </c>
      <c r="Q26" s="140">
        <f>Model!E$47*MIN(1,(Q$4-$I26&gt;=1)*INDEX(Model!$D$48:$O$48,1,MAX(1,Q$4-$I26))*$H26)*$O26-IF(Q$4-$I26&gt;=GoLiveQ,1,0)*(in_Platform*3+in_OngoingAnnual/4)-IF(Q$4&lt;=in_Spread,$K26/in_Spread,0)</f>
        <v>-78816.508449838</v>
      </c>
      <c r="R26" s="140">
        <f>Model!F$47*MIN(1,(R$4-$I26&gt;=1)*INDEX(Model!$D$48:$O$48,1,MAX(1,R$4-$I26))*$H26)*$O26-IF(R$4-$I26&gt;=GoLiveQ,1,0)*(in_Platform*3+in_OngoingAnnual/4)-IF(R$4&lt;=in_Spread,$K26/in_Spread,0)</f>
        <v>-2766.03379935212</v>
      </c>
      <c r="S26" s="140">
        <f>Model!G$47*MIN(1,(S$4-$I26&gt;=1)*INDEX(Model!$D$48:$O$48,1,MAX(1,S$4-$I26))*$H26)*$O26-IF(S$4-$I26&gt;=GoLiveQ,1,0)*(in_Platform*3+in_OngoingAnnual/4)-IF(S$4&lt;=in_Spread,$K26/in_Spread,0)</f>
        <v>8284.44085113378</v>
      </c>
      <c r="T26" s="140">
        <f>Model!H$47*MIN(1,(T$4-$I26&gt;=1)*INDEX(Model!$D$48:$O$48,1,MAX(1,T$4-$I26))*$H26)*$O26-IF(T$4-$I26&gt;=GoLiveQ,1,0)*(in_Platform*3+in_OngoingAnnual/4)-IF(T$4&lt;=in_Spread,$K26/in_Spread,0)</f>
        <v>16940.6459940144</v>
      </c>
      <c r="U26" s="140">
        <f>Model!I$47*MIN(1,(U$4-$I26&gt;=1)*INDEX(Model!$D$48:$O$48,1,MAX(1,U$4-$I26))*$H26)*$O26-IF(U$4-$I26&gt;=GoLiveQ,1,0)*(in_Platform*3+in_OngoingAnnual/4)-IF(U$4&lt;=in_Spread,$K26/in_Spread,0)</f>
        <v>18966.5663466035</v>
      </c>
      <c r="V26" s="140">
        <f>Model!J$47*MIN(1,(V$4-$I26&gt;=1)*INDEX(Model!$D$48:$O$48,1,MAX(1,V$4-$I26))*$H26)*$O26-IF(V$4-$I26&gt;=GoLiveQ,1,0)*(in_Platform*3+in_OngoingAnnual/4)-IF(V$4&lt;=in_Spread,$K26/in_Spread,0)</f>
        <v>18966.5663466035</v>
      </c>
      <c r="W26" s="140">
        <f>Model!K$47*MIN(1,(W$4-$I26&gt;=1)*INDEX(Model!$D$48:$O$48,1,MAX(1,W$4-$I26))*$H26)*$O26-IF(W$4-$I26&gt;=GoLiveQ,1,0)*(in_Platform*3+in_OngoingAnnual/4)-IF(W$4&lt;=in_Spread,$K26/in_Spread,0)</f>
        <v>18966.5663466035</v>
      </c>
      <c r="X26" s="140">
        <f>Model!L$47*MIN(1,(X$4-$I26&gt;=1)*INDEX(Model!$D$48:$O$48,1,MAX(1,X$4-$I26))*$H26)*$O26-IF(X$4-$I26&gt;=GoLiveQ,1,0)*(in_Platform*3+in_OngoingAnnual/4)-IF(X$4&lt;=in_Spread,$K26/in_Spread,0)</f>
        <v>22613.2229812638</v>
      </c>
      <c r="Y26" s="140">
        <f>Model!M$47*MIN(1,(Y$4-$I26&gt;=1)*INDEX(Model!$D$48:$O$48,1,MAX(1,Y$4-$I26))*$H26)*$O26-IF(Y$4-$I26&gt;=GoLiveQ,1,0)*(in_Platform*3+in_OngoingAnnual/4)-IF(Y$4&lt;=in_Spread,$K26/in_Spread,0)</f>
        <v>22613.2229812638</v>
      </c>
      <c r="Z26" s="140">
        <f>Model!N$47*MIN(1,(Z$4-$I26&gt;=1)*INDEX(Model!$D$48:$O$48,1,MAX(1,Z$4-$I26))*$H26)*$O26-IF(Z$4-$I26&gt;=GoLiveQ,1,0)*(in_Platform*3+in_OngoingAnnual/4)-IF(Z$4&lt;=in_Spread,$K26/in_Spread,0)</f>
        <v>22613.2229812638</v>
      </c>
      <c r="AA26" s="140">
        <f>Model!O$47*MIN(1,(AA$4-$I26&gt;=1)*INDEX(Model!$D$48:$O$48,1,MAX(1,AA$4-$I26))*$H26)*$O26-IF(AA$4-$I26&gt;=GoLiveQ,1,0)*(in_Platform*3+in_OngoingAnnual/4)-IF(AA$4&lt;=in_Spread,$K26/in_Spread,0)</f>
        <v>22613.2229812638</v>
      </c>
      <c r="AB26" s="192">
        <f>SUMPRODUCT(P26:AA26,Model!$D$50:$O$50)</f>
        <v>7.93079379945993e-10</v>
      </c>
      <c r="AC26" s="140">
        <f>SUM(P26:AA26)</f>
        <v>25995.1355608239</v>
      </c>
    </row>
    <row r="27">
      <c r="B27" s="28" t="inlineStr">
        <is>
          <t>Check am at break-even</t>
        </is>
      </c>
      <c r="C27" s="76" t="inlineStr">
        <is>
          <t>Break-even check selected</t>
        </is>
      </c>
      <c r="D27" s="184">
        <f>Scenarios!$F$20</f>
        <v>0.92</v>
      </c>
      <c r="E27" s="184">
        <f>Scenarios!$F$21</f>
        <v>0.8</v>
      </c>
      <c r="F27" s="185">
        <f>Scenarios!$F$22</f>
        <v>8</v>
      </c>
      <c r="G27" s="184">
        <f>Scenarios!$F$23</f>
        <v>0.7</v>
      </c>
      <c r="H27" s="138">
        <f>IF(ISNUMBER(L86),L86,D86)</f>
        <v>0.717375094487283</v>
      </c>
      <c r="I27" s="186">
        <f>Scenarios!$F$25</f>
        <v>0</v>
      </c>
      <c r="J27" s="187">
        <f>Scenarios!$F$26</f>
        <v>0.216</v>
      </c>
      <c r="K27" s="188">
        <f>Scenarios!$F$27</f>
        <v>130000</v>
      </c>
      <c r="L27" s="189">
        <f>in_MinsToday-(E27*in_ReviewRate*(F27+(1-D27)*in_CatchRate*in_FixMins)+(1-E27)*in_MinsToday)</f>
        <v>24.784</v>
      </c>
      <c r="M27" s="190">
        <f>IF(L27&gt;0,L27*G27,L27)/60*in_HourlyCost</f>
        <v>13.0116</v>
      </c>
      <c r="N27" s="190">
        <f>in_ErrRateToday*in_ErrCostToday-(E27*(1-D27)*(1-in_ReviewRate*in_CatchRate)*in_ErrCostAI+(1-E27)*in_ErrRateToday*in_ErrCostToday)</f>
        <v>4.32</v>
      </c>
      <c r="O27" s="191">
        <f>M27+N27-J27</f>
        <v>17.1156</v>
      </c>
      <c r="P27" s="140">
        <f>Model!D$47*MIN(1,(P$4-$I27&gt;=1)*INDEX(Model!$D$48:$O$48,1,MAX(1,P$4-$I27))*$H27)*$O27-IF(P$4-$I27&gt;=GoLiveQ,1,0)*(in_Platform*3+in_OngoingAnnual/4)-IF(P$4&lt;=in_Spread,$K27/in_Spread,0)</f>
        <v>-65000</v>
      </c>
      <c r="Q27" s="140">
        <f>Model!E$47*MIN(1,(Q$4-$I27&gt;=1)*INDEX(Model!$D$48:$O$48,1,MAX(1,Q$4-$I27))*$H27)*$O27-IF(Q$4-$I27&gt;=GoLiveQ,1,0)*(in_Platform*3+in_OngoingAnnual/4)-IF(Q$4&lt;=in_Spread,$K27/in_Spread,0)</f>
        <v>-78816.508449838</v>
      </c>
      <c r="R27" s="140">
        <f>Model!F$47*MIN(1,(R$4-$I27&gt;=1)*INDEX(Model!$D$48:$O$48,1,MAX(1,R$4-$I27))*$H27)*$O27-IF(R$4-$I27&gt;=GoLiveQ,1,0)*(in_Platform*3+in_OngoingAnnual/4)-IF(R$4&lt;=in_Spread,$K27/in_Spread,0)</f>
        <v>-2766.03379935215</v>
      </c>
      <c r="S27" s="140">
        <f>Model!G$47*MIN(1,(S$4-$I27&gt;=1)*INDEX(Model!$D$48:$O$48,1,MAX(1,S$4-$I27))*$H27)*$O27-IF(S$4-$I27&gt;=GoLiveQ,1,0)*(in_Platform*3+in_OngoingAnnual/4)-IF(S$4&lt;=in_Spread,$K27/in_Spread,0)</f>
        <v>8284.44085113373</v>
      </c>
      <c r="T27" s="140">
        <f>Model!H$47*MIN(1,(T$4-$I27&gt;=1)*INDEX(Model!$D$48:$O$48,1,MAX(1,T$4-$I27))*$H27)*$O27-IF(T$4-$I27&gt;=GoLiveQ,1,0)*(in_Platform*3+in_OngoingAnnual/4)-IF(T$4&lt;=in_Spread,$K27/in_Spread,0)</f>
        <v>16940.6459940143</v>
      </c>
      <c r="U27" s="140">
        <f>Model!I$47*MIN(1,(U$4-$I27&gt;=1)*INDEX(Model!$D$48:$O$48,1,MAX(1,U$4-$I27))*$H27)*$O27-IF(U$4-$I27&gt;=GoLiveQ,1,0)*(in_Platform*3+in_OngoingAnnual/4)-IF(U$4&lt;=in_Spread,$K27/in_Spread,0)</f>
        <v>18966.5663466034</v>
      </c>
      <c r="V27" s="140">
        <f>Model!J$47*MIN(1,(V$4-$I27&gt;=1)*INDEX(Model!$D$48:$O$48,1,MAX(1,V$4-$I27))*$H27)*$O27-IF(V$4-$I27&gt;=GoLiveQ,1,0)*(in_Platform*3+in_OngoingAnnual/4)-IF(V$4&lt;=in_Spread,$K27/in_Spread,0)</f>
        <v>18966.5663466034</v>
      </c>
      <c r="W27" s="140">
        <f>Model!K$47*MIN(1,(W$4-$I27&gt;=1)*INDEX(Model!$D$48:$O$48,1,MAX(1,W$4-$I27))*$H27)*$O27-IF(W$4-$I27&gt;=GoLiveQ,1,0)*(in_Platform*3+in_OngoingAnnual/4)-IF(W$4&lt;=in_Spread,$K27/in_Spread,0)</f>
        <v>18966.5663466034</v>
      </c>
      <c r="X27" s="140">
        <f>Model!L$47*MIN(1,(X$4-$I27&gt;=1)*INDEX(Model!$D$48:$O$48,1,MAX(1,X$4-$I27))*$H27)*$O27-IF(X$4-$I27&gt;=GoLiveQ,1,0)*(in_Platform*3+in_OngoingAnnual/4)-IF(X$4&lt;=in_Spread,$K27/in_Spread,0)</f>
        <v>22613.2229812638</v>
      </c>
      <c r="Y27" s="140">
        <f>Model!M$47*MIN(1,(Y$4-$I27&gt;=1)*INDEX(Model!$D$48:$O$48,1,MAX(1,Y$4-$I27))*$H27)*$O27-IF(Y$4-$I27&gt;=GoLiveQ,1,0)*(in_Platform*3+in_OngoingAnnual/4)-IF(Y$4&lt;=in_Spread,$K27/in_Spread,0)</f>
        <v>22613.2229812638</v>
      </c>
      <c r="Z27" s="140">
        <f>Model!N$47*MIN(1,(Z$4-$I27&gt;=1)*INDEX(Model!$D$48:$O$48,1,MAX(1,Z$4-$I27))*$H27)*$O27-IF(Z$4-$I27&gt;=GoLiveQ,1,0)*(in_Platform*3+in_OngoingAnnual/4)-IF(Z$4&lt;=in_Spread,$K27/in_Spread,0)</f>
        <v>22613.2229812638</v>
      </c>
      <c r="AA27" s="140">
        <f>Model!O$47*MIN(1,(AA$4-$I27&gt;=1)*INDEX(Model!$D$48:$O$48,1,MAX(1,AA$4-$I27))*$H27)*$O27-IF(AA$4-$I27&gt;=GoLiveQ,1,0)*(in_Platform*3+in_OngoingAnnual/4)-IF(AA$4&lt;=in_Spread,$K27/in_Spread,0)</f>
        <v>22613.2229812638</v>
      </c>
      <c r="AB27" s="192">
        <f>SUMPRODUCT(P27:AA27,Model!$D$50:$O$50)</f>
        <v>1.97815097635612e-10</v>
      </c>
      <c r="AC27" s="140">
        <f>SUM(P27:AA27)</f>
        <v>25995.1355608232</v>
      </c>
    </row>
    <row r="28">
      <c r="B28" s="28" t="inlineStr">
        <is>
          <t>Check run at break-even</t>
        </is>
      </c>
      <c r="C28" s="76" t="inlineStr">
        <is>
          <t>Break-even check selected</t>
        </is>
      </c>
      <c r="D28" s="184">
        <f>Scenarios!$F$20</f>
        <v>0.92</v>
      </c>
      <c r="E28" s="184">
        <f>Scenarios!$F$21</f>
        <v>0.8</v>
      </c>
      <c r="F28" s="185">
        <f>Scenarios!$F$22</f>
        <v>8</v>
      </c>
      <c r="G28" s="184">
        <f>Scenarios!$F$23</f>
        <v>0.7</v>
      </c>
      <c r="H28" s="137">
        <f>Scenarios!$F$24</f>
        <v>1</v>
      </c>
      <c r="I28" s="186">
        <f>Scenarios!$F$25</f>
        <v>0</v>
      </c>
      <c r="J28" s="190">
        <f>IF(ISNUMBER(L87),L87,D87)</f>
        <v>5.05329483279439</v>
      </c>
      <c r="K28" s="188">
        <f>Scenarios!$F$27</f>
        <v>130000</v>
      </c>
      <c r="L28" s="189">
        <f>in_MinsToday-(E28*in_ReviewRate*(F28+(1-D28)*in_CatchRate*in_FixMins)+(1-E28)*in_MinsToday)</f>
        <v>24.784</v>
      </c>
      <c r="M28" s="190">
        <f>IF(L28&gt;0,L28*G28,L28)/60*in_HourlyCost</f>
        <v>13.0116</v>
      </c>
      <c r="N28" s="190">
        <f>in_ErrRateToday*in_ErrCostToday-(E28*(1-D28)*(1-in_ReviewRate*in_CatchRate)*in_ErrCostAI+(1-E28)*in_ErrRateToday*in_ErrCostToday)</f>
        <v>4.32</v>
      </c>
      <c r="O28" s="191">
        <f>M28+N28-J28</f>
        <v>12.2783051672056</v>
      </c>
      <c r="P28" s="140">
        <f>Model!D$47*MIN(1,(P$4-$I28&gt;=1)*INDEX(Model!$D$48:$O$48,1,MAX(1,P$4-$I28))*$H28)*$O28-IF(P$4-$I28&gt;=GoLiveQ,1,0)*(in_Platform*3+in_OngoingAnnual/4)-IF(P$4&lt;=in_Spread,$K28/in_Spread,0)</f>
        <v>-65000</v>
      </c>
      <c r="Q28" s="140">
        <f>Model!E$47*MIN(1,(Q$4-$I28&gt;=1)*INDEX(Model!$D$48:$O$48,1,MAX(1,Q$4-$I28))*$H28)*$O28-IF(Q$4-$I28&gt;=GoLiveQ,1,0)*(in_Platform*3+in_OngoingAnnual/4)-IF(Q$4&lt;=in_Spread,$K28/in_Spread,0)</f>
        <v>-78816.5084498383</v>
      </c>
      <c r="R28" s="140">
        <f>Model!F$47*MIN(1,(R$4-$I28&gt;=1)*INDEX(Model!$D$48:$O$48,1,MAX(1,R$4-$I28))*$H28)*$O28-IF(R$4-$I28&gt;=GoLiveQ,1,0)*(in_Platform*3+in_OngoingAnnual/4)-IF(R$4&lt;=in_Spread,$K28/in_Spread,0)</f>
        <v>-2766.03379935327</v>
      </c>
      <c r="S28" s="140">
        <f>Model!G$47*MIN(1,(S$4-$I28&gt;=1)*INDEX(Model!$D$48:$O$48,1,MAX(1,S$4-$I28))*$H28)*$O28-IF(S$4-$I28&gt;=GoLiveQ,1,0)*(in_Platform*3+in_OngoingAnnual/4)-IF(S$4&lt;=in_Spread,$K28/in_Spread,0)</f>
        <v>8284.44085113177</v>
      </c>
      <c r="T28" s="140">
        <f>Model!H$47*MIN(1,(T$4-$I28&gt;=1)*INDEX(Model!$D$48:$O$48,1,MAX(1,T$4-$I28))*$H28)*$O28-IF(T$4-$I28&gt;=GoLiveQ,1,0)*(in_Platform*3+in_OngoingAnnual/4)-IF(T$4&lt;=in_Spread,$K28/in_Spread,0)</f>
        <v>16940.6459940117</v>
      </c>
      <c r="U28" s="140">
        <f>Model!I$47*MIN(1,(U$4-$I28&gt;=1)*INDEX(Model!$D$48:$O$48,1,MAX(1,U$4-$I28))*$H28)*$O28-IF(U$4-$I28&gt;=GoLiveQ,1,0)*(in_Platform*3+in_OngoingAnnual/4)-IF(U$4&lt;=in_Spread,$K28/in_Spread,0)</f>
        <v>18966.5663466007</v>
      </c>
      <c r="V28" s="140">
        <f>Model!J$47*MIN(1,(V$4-$I28&gt;=1)*INDEX(Model!$D$48:$O$48,1,MAX(1,V$4-$I28))*$H28)*$O28-IF(V$4-$I28&gt;=GoLiveQ,1,0)*(in_Platform*3+in_OngoingAnnual/4)-IF(V$4&lt;=in_Spread,$K28/in_Spread,0)</f>
        <v>18966.5663466007</v>
      </c>
      <c r="W28" s="140">
        <f>Model!K$47*MIN(1,(W$4-$I28&gt;=1)*INDEX(Model!$D$48:$O$48,1,MAX(1,W$4-$I28))*$H28)*$O28-IF(W$4-$I28&gt;=GoLiveQ,1,0)*(in_Platform*3+in_OngoingAnnual/4)-IF(W$4&lt;=in_Spread,$K28/in_Spread,0)</f>
        <v>18966.5663466007</v>
      </c>
      <c r="X28" s="140">
        <f>Model!L$47*MIN(1,(X$4-$I28&gt;=1)*INDEX(Model!$D$48:$O$48,1,MAX(1,X$4-$I28))*$H28)*$O28-IF(X$4-$I28&gt;=GoLiveQ,1,0)*(in_Platform*3+in_OngoingAnnual/4)-IF(X$4&lt;=in_Spread,$K28/in_Spread,0)</f>
        <v>22613.2229812607</v>
      </c>
      <c r="Y28" s="140">
        <f>Model!M$47*MIN(1,(Y$4-$I28&gt;=1)*INDEX(Model!$D$48:$O$48,1,MAX(1,Y$4-$I28))*$H28)*$O28-IF(Y$4-$I28&gt;=GoLiveQ,1,0)*(in_Platform*3+in_OngoingAnnual/4)-IF(Y$4&lt;=in_Spread,$K28/in_Spread,0)</f>
        <v>22613.2229812607</v>
      </c>
      <c r="Z28" s="140">
        <f>Model!N$47*MIN(1,(Z$4-$I28&gt;=1)*INDEX(Model!$D$48:$O$48,1,MAX(1,Z$4-$I28))*$H28)*$O28-IF(Z$4-$I28&gt;=GoLiveQ,1,0)*(in_Platform*3+in_OngoingAnnual/4)-IF(Z$4&lt;=in_Spread,$K28/in_Spread,0)</f>
        <v>22613.2229812607</v>
      </c>
      <c r="AA28" s="140">
        <f>Model!O$47*MIN(1,(AA$4-$I28&gt;=1)*INDEX(Model!$D$48:$O$48,1,MAX(1,AA$4-$I28))*$H28)*$O28-IF(AA$4-$I28&gt;=GoLiveQ,1,0)*(in_Platform*3+in_OngoingAnnual/4)-IF(AA$4&lt;=in_Spread,$K28/in_Spread,0)</f>
        <v>22613.2229812607</v>
      </c>
      <c r="AB28" s="192">
        <f>SUMPRODUCT(P28:AA28,Model!$D$50:$O$50)</f>
        <v>-2.17028173210565e-08</v>
      </c>
      <c r="AC28" s="140">
        <f>SUM(P28:AA28)</f>
        <v>25995.1355607968</v>
      </c>
    </row>
    <row r="29">
      <c r="B29" s="28" t="inlineStr">
        <is>
          <t>Check one at break-even</t>
        </is>
      </c>
      <c r="C29" s="76" t="inlineStr">
        <is>
          <t>Break-even check selected</t>
        </is>
      </c>
      <c r="D29" s="184">
        <f>Scenarios!$F$20</f>
        <v>0.92</v>
      </c>
      <c r="E29" s="184">
        <f>Scenarios!$F$21</f>
        <v>0.8</v>
      </c>
      <c r="F29" s="185">
        <f>Scenarios!$F$22</f>
        <v>8</v>
      </c>
      <c r="G29" s="184">
        <f>Scenarios!$F$23</f>
        <v>0.7</v>
      </c>
      <c r="H29" s="137">
        <f>Scenarios!$F$24</f>
        <v>1</v>
      </c>
      <c r="I29" s="186">
        <f>Scenarios!$F$25</f>
        <v>0</v>
      </c>
      <c r="J29" s="187">
        <f>Scenarios!$F$26</f>
        <v>0.216</v>
      </c>
      <c r="K29" s="140">
        <f>IF(ISNUMBER(L88),L88,D88)</f>
        <v>247924.727831702</v>
      </c>
      <c r="L29" s="189">
        <f>in_MinsToday-(E29*in_ReviewRate*(F29+(1-D29)*in_CatchRate*in_FixMins)+(1-E29)*in_MinsToday)</f>
        <v>24.784</v>
      </c>
      <c r="M29" s="190">
        <f>IF(L29&gt;0,L29*G29,L29)/60*in_HourlyCost</f>
        <v>13.0116</v>
      </c>
      <c r="N29" s="190">
        <f>in_ErrRateToday*in_ErrCostToday-(E29*(1-D29)*(1-in_ReviewRate*in_CatchRate)*in_ErrCostAI+(1-E29)*in_ErrRateToday*in_ErrCostToday)</f>
        <v>4.32</v>
      </c>
      <c r="O29" s="191">
        <f>M29+N29-J29</f>
        <v>17.1156</v>
      </c>
      <c r="P29" s="140">
        <f>Model!D$47*MIN(1,(P$4-$I29&gt;=1)*INDEX(Model!$D$48:$O$48,1,MAX(1,P$4-$I29))*$H29)*$O29-IF(P$4-$I29&gt;=GoLiveQ,1,0)*(in_Platform*3+in_OngoingAnnual/4)-IF(P$4&lt;=in_Spread,$K29/in_Spread,0)</f>
        <v>-123962.363915851</v>
      </c>
      <c r="Q29" s="140">
        <f>Model!E$47*MIN(1,(Q$4-$I29&gt;=1)*INDEX(Model!$D$48:$O$48,1,MAX(1,Q$4-$I29))*$H29)*$O29-IF(Q$4-$I29&gt;=GoLiveQ,1,0)*(in_Platform*3+in_OngoingAnnual/4)-IF(Q$4&lt;=in_Spread,$K29/in_Spread,0)</f>
        <v>-136327.683915851</v>
      </c>
      <c r="R29" s="140">
        <f>Model!F$47*MIN(1,(R$4-$I29&gt;=1)*INDEX(Model!$D$48:$O$48,1,MAX(1,R$4-$I29))*$H29)*$O29-IF(R$4-$I29&gt;=GoLiveQ,1,0)*(in_Platform*3+in_OngoingAnnual/4)-IF(R$4&lt;=in_Spread,$K29/in_Spread,0)</f>
        <v>3038.72</v>
      </c>
      <c r="S29" s="140">
        <f>Model!G$47*MIN(1,(S$4-$I29&gt;=1)*INDEX(Model!$D$48:$O$48,1,MAX(1,S$4-$I29))*$H29)*$O29-IF(S$4-$I29&gt;=GoLiveQ,1,0)*(in_Platform*3+in_OngoingAnnual/4)-IF(S$4&lt;=in_Spread,$K29/in_Spread,0)</f>
        <v>18442.76</v>
      </c>
      <c r="T29" s="140">
        <f>Model!H$47*MIN(1,(T$4-$I29&gt;=1)*INDEX(Model!$D$48:$O$48,1,MAX(1,T$4-$I29))*$H29)*$O29-IF(T$4-$I29&gt;=GoLiveQ,1,0)*(in_Platform*3+in_OngoingAnnual/4)-IF(T$4&lt;=in_Spread,$K29/in_Spread,0)</f>
        <v>30509.258</v>
      </c>
      <c r="U29" s="140">
        <f>Model!I$47*MIN(1,(U$4-$I29&gt;=1)*INDEX(Model!$D$48:$O$48,1,MAX(1,U$4-$I29))*$H29)*$O29-IF(U$4-$I29&gt;=GoLiveQ,1,0)*(in_Platform*3+in_OngoingAnnual/4)-IF(U$4&lt;=in_Spread,$K29/in_Spread,0)</f>
        <v>33333.332</v>
      </c>
      <c r="V29" s="140">
        <f>Model!J$47*MIN(1,(V$4-$I29&gt;=1)*INDEX(Model!$D$48:$O$48,1,MAX(1,V$4-$I29))*$H29)*$O29-IF(V$4-$I29&gt;=GoLiveQ,1,0)*(in_Platform*3+in_OngoingAnnual/4)-IF(V$4&lt;=in_Spread,$K29/in_Spread,0)</f>
        <v>33333.332</v>
      </c>
      <c r="W29" s="140">
        <f>Model!K$47*MIN(1,(W$4-$I29&gt;=1)*INDEX(Model!$D$48:$O$48,1,MAX(1,W$4-$I29))*$H29)*$O29-IF(W$4-$I29&gt;=GoLiveQ,1,0)*(in_Platform*3+in_OngoingAnnual/4)-IF(W$4&lt;=in_Spread,$K29/in_Spread,0)</f>
        <v>33333.332</v>
      </c>
      <c r="X29" s="140">
        <f>Model!L$47*MIN(1,(X$4-$I29&gt;=1)*INDEX(Model!$D$48:$O$48,1,MAX(1,X$4-$I29))*$H29)*$O29-IF(X$4-$I29&gt;=GoLiveQ,1,0)*(in_Platform*3+in_OngoingAnnual/4)-IF(X$4&lt;=in_Spread,$K29/in_Spread,0)</f>
        <v>38416.6652</v>
      </c>
      <c r="Y29" s="140">
        <f>Model!M$47*MIN(1,(Y$4-$I29&gt;=1)*INDEX(Model!$D$48:$O$48,1,MAX(1,Y$4-$I29))*$H29)*$O29-IF(Y$4-$I29&gt;=GoLiveQ,1,0)*(in_Platform*3+in_OngoingAnnual/4)-IF(Y$4&lt;=in_Spread,$K29/in_Spread,0)</f>
        <v>38416.6652</v>
      </c>
      <c r="Z29" s="140">
        <f>Model!N$47*MIN(1,(Z$4-$I29&gt;=1)*INDEX(Model!$D$48:$O$48,1,MAX(1,Z$4-$I29))*$H29)*$O29-IF(Z$4-$I29&gt;=GoLiveQ,1,0)*(in_Platform*3+in_OngoingAnnual/4)-IF(Z$4&lt;=in_Spread,$K29/in_Spread,0)</f>
        <v>38416.6652</v>
      </c>
      <c r="AA29" s="140">
        <f>Model!O$47*MIN(1,(AA$4-$I29&gt;=1)*INDEX(Model!$D$48:$O$48,1,MAX(1,AA$4-$I29))*$H29)*$O29-IF(AA$4-$I29&gt;=GoLiveQ,1,0)*(in_Platform*3+in_OngoingAnnual/4)-IF(AA$4&lt;=in_Spread,$K29/in_Spread,0)</f>
        <v>38416.6652</v>
      </c>
      <c r="AB29" s="192">
        <f>SUMPRODUCT(P29:AA29,Model!$D$50:$O$50)</f>
        <v>1.64072844199836e-09</v>
      </c>
      <c r="AC29" s="140">
        <f>SUM(P29:AA29)</f>
        <v>45367.3469682979</v>
      </c>
    </row>
    <row r="30">
      <c r="B30" s="28" t="inlineStr">
        <is>
          <t>Check acc at break-even</t>
        </is>
      </c>
      <c r="C30" s="76" t="inlineStr">
        <is>
          <t>Break-even check base</t>
        </is>
      </c>
      <c r="D30" s="193">
        <f>IF(ISNUMBER(L92),L92,D92)</f>
        <v>0.803029988325633</v>
      </c>
      <c r="E30" s="184">
        <f>Scenarios!$D$21</f>
        <v>0.8</v>
      </c>
      <c r="F30" s="185">
        <f>Scenarios!$D$22</f>
        <v>8</v>
      </c>
      <c r="G30" s="184">
        <f>Scenarios!$D$23</f>
        <v>0.7</v>
      </c>
      <c r="H30" s="137">
        <f>Scenarios!$D$24</f>
        <v>1</v>
      </c>
      <c r="I30" s="186">
        <f>Scenarios!$D$25</f>
        <v>0</v>
      </c>
      <c r="J30" s="187">
        <f>Scenarios!$D$26</f>
        <v>0.216</v>
      </c>
      <c r="K30" s="188">
        <f>Scenarios!$D$27</f>
        <v>130000</v>
      </c>
      <c r="L30" s="189">
        <f>in_MinsToday-(E30*in_ReviewRate*(F30+(1-D30)*in_CatchRate*in_FixMins)+(1-E30)*in_MinsToday)</f>
        <v>23.5909058809215</v>
      </c>
      <c r="M30" s="190">
        <f>IF(L30&gt;0,L30*G30,L30)/60*in_HourlyCost</f>
        <v>12.3852255874838</v>
      </c>
      <c r="N30" s="190">
        <f>in_ErrRateToday*in_ErrCostToday-(E30*(1-D30)*(1-in_ReviewRate*in_CatchRate)*in_ErrCostAI+(1-E30)*in_ErrRateToday*in_ErrCostToday)</f>
        <v>0.109079579722771</v>
      </c>
      <c r="O30" s="191">
        <f>M30+N30-J30</f>
        <v>12.2783051672065</v>
      </c>
      <c r="P30" s="140">
        <f>Model!D$47*MIN(1,(P$4-$I30&gt;=1)*INDEX(Model!$D$48:$O$48,1,MAX(1,P$4-$I30))*$H30)*$O30-IF(P$4-$I30&gt;=GoLiveQ,1,0)*(in_Platform*3+in_OngoingAnnual/4)-IF(P$4&lt;=in_Spread,$K30/in_Spread,0)</f>
        <v>-65000</v>
      </c>
      <c r="Q30" s="140">
        <f>Model!E$47*MIN(1,(Q$4-$I30&gt;=1)*INDEX(Model!$D$48:$O$48,1,MAX(1,Q$4-$I30))*$H30)*$O30-IF(Q$4-$I30&gt;=GoLiveQ,1,0)*(in_Platform*3+in_OngoingAnnual/4)-IF(Q$4&lt;=in_Spread,$K30/in_Spread,0)</f>
        <v>-78816.508449838</v>
      </c>
      <c r="R30" s="140">
        <f>Model!F$47*MIN(1,(R$4-$I30&gt;=1)*INDEX(Model!$D$48:$O$48,1,MAX(1,R$4-$I30))*$H30)*$O30-IF(R$4-$I30&gt;=GoLiveQ,1,0)*(in_Platform*3+in_OngoingAnnual/4)-IF(R$4&lt;=in_Spread,$K30/in_Spread,0)</f>
        <v>-2766.03379935216</v>
      </c>
      <c r="S30" s="140">
        <f>Model!G$47*MIN(1,(S$4-$I30&gt;=1)*INDEX(Model!$D$48:$O$48,1,MAX(1,S$4-$I30))*$H30)*$O30-IF(S$4-$I30&gt;=GoLiveQ,1,0)*(in_Platform*3+in_OngoingAnnual/4)-IF(S$4&lt;=in_Spread,$K30/in_Spread,0)</f>
        <v>8284.44085113372</v>
      </c>
      <c r="T30" s="140">
        <f>Model!H$47*MIN(1,(T$4-$I30&gt;=1)*INDEX(Model!$D$48:$O$48,1,MAX(1,T$4-$I30))*$H30)*$O30-IF(T$4-$I30&gt;=GoLiveQ,1,0)*(in_Platform*3+in_OngoingAnnual/4)-IF(T$4&lt;=in_Spread,$K30/in_Spread,0)</f>
        <v>16940.6459940143</v>
      </c>
      <c r="U30" s="140">
        <f>Model!I$47*MIN(1,(U$4-$I30&gt;=1)*INDEX(Model!$D$48:$O$48,1,MAX(1,U$4-$I30))*$H30)*$O30-IF(U$4-$I30&gt;=GoLiveQ,1,0)*(in_Platform*3+in_OngoingAnnual/4)-IF(U$4&lt;=in_Spread,$K30/in_Spread,0)</f>
        <v>18966.5663466034</v>
      </c>
      <c r="V30" s="140">
        <f>Model!J$47*MIN(1,(V$4-$I30&gt;=1)*INDEX(Model!$D$48:$O$48,1,MAX(1,V$4-$I30))*$H30)*$O30-IF(V$4-$I30&gt;=GoLiveQ,1,0)*(in_Platform*3+in_OngoingAnnual/4)-IF(V$4&lt;=in_Spread,$K30/in_Spread,0)</f>
        <v>18966.5663466034</v>
      </c>
      <c r="W30" s="140">
        <f>Model!K$47*MIN(1,(W$4-$I30&gt;=1)*INDEX(Model!$D$48:$O$48,1,MAX(1,W$4-$I30))*$H30)*$O30-IF(W$4-$I30&gt;=GoLiveQ,1,0)*(in_Platform*3+in_OngoingAnnual/4)-IF(W$4&lt;=in_Spread,$K30/in_Spread,0)</f>
        <v>18966.5663466034</v>
      </c>
      <c r="X30" s="140">
        <f>Model!L$47*MIN(1,(X$4-$I30&gt;=1)*INDEX(Model!$D$48:$O$48,1,MAX(1,X$4-$I30))*$H30)*$O30-IF(X$4-$I30&gt;=GoLiveQ,1,0)*(in_Platform*3+in_OngoingAnnual/4)-IF(X$4&lt;=in_Spread,$K30/in_Spread,0)</f>
        <v>22613.2229812638</v>
      </c>
      <c r="Y30" s="140">
        <f>Model!M$47*MIN(1,(Y$4-$I30&gt;=1)*INDEX(Model!$D$48:$O$48,1,MAX(1,Y$4-$I30))*$H30)*$O30-IF(Y$4-$I30&gt;=GoLiveQ,1,0)*(in_Platform*3+in_OngoingAnnual/4)-IF(Y$4&lt;=in_Spread,$K30/in_Spread,0)</f>
        <v>22613.2229812638</v>
      </c>
      <c r="Z30" s="140">
        <f>Model!N$47*MIN(1,(Z$4-$I30&gt;=1)*INDEX(Model!$D$48:$O$48,1,MAX(1,Z$4-$I30))*$H30)*$O30-IF(Z$4-$I30&gt;=GoLiveQ,1,0)*(in_Platform*3+in_OngoingAnnual/4)-IF(Z$4&lt;=in_Spread,$K30/in_Spread,0)</f>
        <v>22613.2229812638</v>
      </c>
      <c r="AA30" s="140">
        <f>Model!O$47*MIN(1,(AA$4-$I30&gt;=1)*INDEX(Model!$D$48:$O$48,1,MAX(1,AA$4-$I30))*$H30)*$O30-IF(AA$4-$I30&gt;=GoLiveQ,1,0)*(in_Platform*3+in_OngoingAnnual/4)-IF(AA$4&lt;=in_Spread,$K30/in_Spread,0)</f>
        <v>22613.2229812638</v>
      </c>
      <c r="AB30" s="192">
        <f>SUMPRODUCT(P30:AA30,Model!$D$50:$O$50)</f>
        <v>1.65073288371786e-10</v>
      </c>
      <c r="AC30" s="140">
        <f>SUM(P30:AA30)</f>
        <v>25995.1355608232</v>
      </c>
    </row>
    <row r="31">
      <c r="B31" s="28" t="inlineStr">
        <is>
          <t>Check h at break-even</t>
        </is>
      </c>
      <c r="C31" s="76" t="inlineStr">
        <is>
          <t>Break-even check base</t>
        </is>
      </c>
      <c r="D31" s="184">
        <f>Scenarios!$D$20</f>
        <v>0.92</v>
      </c>
      <c r="E31" s="193">
        <f>IF(ISNUMBER(L93),L93,D93)</f>
        <v>0.576717910277482</v>
      </c>
      <c r="F31" s="185">
        <f>Scenarios!$D$22</f>
        <v>8</v>
      </c>
      <c r="G31" s="184">
        <f>Scenarios!$D$23</f>
        <v>0.7</v>
      </c>
      <c r="H31" s="137">
        <f>Scenarios!$D$24</f>
        <v>1</v>
      </c>
      <c r="I31" s="186">
        <f>Scenarios!$D$25</f>
        <v>0</v>
      </c>
      <c r="J31" s="187">
        <f>Scenarios!$D$26</f>
        <v>0.216</v>
      </c>
      <c r="K31" s="188">
        <f>Scenarios!$D$27</f>
        <v>130000</v>
      </c>
      <c r="L31" s="189">
        <f>in_MinsToday-(E31*in_ReviewRate*(F31+(1-D31)*in_CatchRate*in_FixMins)+(1-E31)*in_MinsToday)</f>
        <v>17.8667208603964</v>
      </c>
      <c r="M31" s="190">
        <f>IF(L31&gt;0,L31*G31,L31)/60*in_HourlyCost</f>
        <v>9.38002845170811</v>
      </c>
      <c r="N31" s="190">
        <f>in_ErrRateToday*in_ErrCostToday-(E31*(1-D31)*(1-in_ReviewRate*in_CatchRate)*in_ErrCostAI+(1-E31)*in_ErrRateToday*in_ErrCostToday)</f>
        <v>3.11427671549841</v>
      </c>
      <c r="O31" s="191">
        <f>M31+N31-J31</f>
        <v>12.2783051672065</v>
      </c>
      <c r="P31" s="140">
        <f>Model!D$47*MIN(1,(P$4-$I31&gt;=1)*INDEX(Model!$D$48:$O$48,1,MAX(1,P$4-$I31))*$H31)*$O31-IF(P$4-$I31&gt;=GoLiveQ,1,0)*(in_Platform*3+in_OngoingAnnual/4)-IF(P$4&lt;=in_Spread,$K31/in_Spread,0)</f>
        <v>-65000</v>
      </c>
      <c r="Q31" s="140">
        <f>Model!E$47*MIN(1,(Q$4-$I31&gt;=1)*INDEX(Model!$D$48:$O$48,1,MAX(1,Q$4-$I31))*$H31)*$O31-IF(Q$4-$I31&gt;=GoLiveQ,1,0)*(in_Platform*3+in_OngoingAnnual/4)-IF(Q$4&lt;=in_Spread,$K31/in_Spread,0)</f>
        <v>-78816.5084498381</v>
      </c>
      <c r="R31" s="140">
        <f>Model!F$47*MIN(1,(R$4-$I31&gt;=1)*INDEX(Model!$D$48:$O$48,1,MAX(1,R$4-$I31))*$H31)*$O31-IF(R$4-$I31&gt;=GoLiveQ,1,0)*(in_Platform*3+in_OngoingAnnual/4)-IF(R$4&lt;=in_Spread,$K31/in_Spread,0)</f>
        <v>-2766.03379935218</v>
      </c>
      <c r="S31" s="140">
        <f>Model!G$47*MIN(1,(S$4-$I31&gt;=1)*INDEX(Model!$D$48:$O$48,1,MAX(1,S$4-$I31))*$H31)*$O31-IF(S$4-$I31&gt;=GoLiveQ,1,0)*(in_Platform*3+in_OngoingAnnual/4)-IF(S$4&lt;=in_Spread,$K31/in_Spread,0)</f>
        <v>8284.44085113368</v>
      </c>
      <c r="T31" s="140">
        <f>Model!H$47*MIN(1,(T$4-$I31&gt;=1)*INDEX(Model!$D$48:$O$48,1,MAX(1,T$4-$I31))*$H31)*$O31-IF(T$4-$I31&gt;=GoLiveQ,1,0)*(in_Platform*3+in_OngoingAnnual/4)-IF(T$4&lt;=in_Spread,$K31/in_Spread,0)</f>
        <v>16940.6459940143</v>
      </c>
      <c r="U31" s="140">
        <f>Model!I$47*MIN(1,(U$4-$I31&gt;=1)*INDEX(Model!$D$48:$O$48,1,MAX(1,U$4-$I31))*$H31)*$O31-IF(U$4-$I31&gt;=GoLiveQ,1,0)*(in_Platform*3+in_OngoingAnnual/4)-IF(U$4&lt;=in_Spread,$K31/in_Spread,0)</f>
        <v>18966.5663466034</v>
      </c>
      <c r="V31" s="140">
        <f>Model!J$47*MIN(1,(V$4-$I31&gt;=1)*INDEX(Model!$D$48:$O$48,1,MAX(1,V$4-$I31))*$H31)*$O31-IF(V$4-$I31&gt;=GoLiveQ,1,0)*(in_Platform*3+in_OngoingAnnual/4)-IF(V$4&lt;=in_Spread,$K31/in_Spread,0)</f>
        <v>18966.5663466034</v>
      </c>
      <c r="W31" s="140">
        <f>Model!K$47*MIN(1,(W$4-$I31&gt;=1)*INDEX(Model!$D$48:$O$48,1,MAX(1,W$4-$I31))*$H31)*$O31-IF(W$4-$I31&gt;=GoLiveQ,1,0)*(in_Platform*3+in_OngoingAnnual/4)-IF(W$4&lt;=in_Spread,$K31/in_Spread,0)</f>
        <v>18966.5663466034</v>
      </c>
      <c r="X31" s="140">
        <f>Model!L$47*MIN(1,(X$4-$I31&gt;=1)*INDEX(Model!$D$48:$O$48,1,MAX(1,X$4-$I31))*$H31)*$O31-IF(X$4-$I31&gt;=GoLiveQ,1,0)*(in_Platform*3+in_OngoingAnnual/4)-IF(X$4&lt;=in_Spread,$K31/in_Spread,0)</f>
        <v>22613.2229812637</v>
      </c>
      <c r="Y31" s="140">
        <f>Model!M$47*MIN(1,(Y$4-$I31&gt;=1)*INDEX(Model!$D$48:$O$48,1,MAX(1,Y$4-$I31))*$H31)*$O31-IF(Y$4-$I31&gt;=GoLiveQ,1,0)*(in_Platform*3+in_OngoingAnnual/4)-IF(Y$4&lt;=in_Spread,$K31/in_Spread,0)</f>
        <v>22613.2229812637</v>
      </c>
      <c r="Z31" s="140">
        <f>Model!N$47*MIN(1,(Z$4-$I31&gt;=1)*INDEX(Model!$D$48:$O$48,1,MAX(1,Z$4-$I31))*$H31)*$O31-IF(Z$4-$I31&gt;=GoLiveQ,1,0)*(in_Platform*3+in_OngoingAnnual/4)-IF(Z$4&lt;=in_Spread,$K31/in_Spread,0)</f>
        <v>22613.2229812637</v>
      </c>
      <c r="AA31" s="140">
        <f>Model!O$47*MIN(1,(AA$4-$I31&gt;=1)*INDEX(Model!$D$48:$O$48,1,MAX(1,AA$4-$I31))*$H31)*$O31-IF(AA$4-$I31&gt;=GoLiveQ,1,0)*(in_Platform*3+in_OngoingAnnual/4)-IF(AA$4&lt;=in_Spread,$K31/in_Spread,0)</f>
        <v>22613.2229812637</v>
      </c>
      <c r="AB31" s="192">
        <f>SUMPRODUCT(P31:AA31,Model!$D$50:$O$50)</f>
        <v>-3.6652636481449e-10</v>
      </c>
      <c r="AC31" s="140">
        <f>SUM(P31:AA31)</f>
        <v>25995.1355608225</v>
      </c>
    </row>
    <row r="32">
      <c r="B32" s="28" t="inlineStr">
        <is>
          <t>Check m1 at break-even</t>
        </is>
      </c>
      <c r="C32" s="76" t="inlineStr">
        <is>
          <t>Break-even check base</t>
        </is>
      </c>
      <c r="D32" s="184">
        <f>Scenarios!$D$20</f>
        <v>0.92</v>
      </c>
      <c r="E32" s="184">
        <f>Scenarios!$D$21</f>
        <v>0.8</v>
      </c>
      <c r="F32" s="194">
        <f>IF(ISNUMBER(L94),L94,D94)</f>
        <v>19.5173686495083</v>
      </c>
      <c r="G32" s="184">
        <f>Scenarios!$D$23</f>
        <v>0.7</v>
      </c>
      <c r="H32" s="137">
        <f>Scenarios!$D$24</f>
        <v>1</v>
      </c>
      <c r="I32" s="186">
        <f>Scenarios!$D$25</f>
        <v>0</v>
      </c>
      <c r="J32" s="187">
        <f>Scenarios!$D$26</f>
        <v>0.216</v>
      </c>
      <c r="K32" s="188">
        <f>Scenarios!$D$27</f>
        <v>130000</v>
      </c>
      <c r="L32" s="189">
        <f>in_MinsToday-(E32*in_ReviewRate*(F32+(1-D32)*in_CatchRate*in_FixMins)+(1-E32)*in_MinsToday)</f>
        <v>15.5701050803934</v>
      </c>
      <c r="M32" s="190">
        <f>IF(L32&gt;0,L32*G32,L32)/60*in_HourlyCost</f>
        <v>8.17430516720651</v>
      </c>
      <c r="N32" s="190">
        <f>in_ErrRateToday*in_ErrCostToday-(E32*(1-D32)*(1-in_ReviewRate*in_CatchRate)*in_ErrCostAI+(1-E32)*in_ErrRateToday*in_ErrCostToday)</f>
        <v>4.32</v>
      </c>
      <c r="O32" s="191">
        <f>M32+N32-J32</f>
        <v>12.2783051672065</v>
      </c>
      <c r="P32" s="140">
        <f>Model!D$47*MIN(1,(P$4-$I32&gt;=1)*INDEX(Model!$D$48:$O$48,1,MAX(1,P$4-$I32))*$H32)*$O32-IF(P$4-$I32&gt;=GoLiveQ,1,0)*(in_Platform*3+in_OngoingAnnual/4)-IF(P$4&lt;=in_Spread,$K32/in_Spread,0)</f>
        <v>-65000</v>
      </c>
      <c r="Q32" s="140">
        <f>Model!E$47*MIN(1,(Q$4-$I32&gt;=1)*INDEX(Model!$D$48:$O$48,1,MAX(1,Q$4-$I32))*$H32)*$O32-IF(Q$4-$I32&gt;=GoLiveQ,1,0)*(in_Platform*3+in_OngoingAnnual/4)-IF(Q$4&lt;=in_Spread,$K32/in_Spread,0)</f>
        <v>-78816.5084498381</v>
      </c>
      <c r="R32" s="140">
        <f>Model!F$47*MIN(1,(R$4-$I32&gt;=1)*INDEX(Model!$D$48:$O$48,1,MAX(1,R$4-$I32))*$H32)*$O32-IF(R$4-$I32&gt;=GoLiveQ,1,0)*(in_Platform*3+in_OngoingAnnual/4)-IF(R$4&lt;=in_Spread,$K32/in_Spread,0)</f>
        <v>-2766.03379935218</v>
      </c>
      <c r="S32" s="140">
        <f>Model!G$47*MIN(1,(S$4-$I32&gt;=1)*INDEX(Model!$D$48:$O$48,1,MAX(1,S$4-$I32))*$H32)*$O32-IF(S$4-$I32&gt;=GoLiveQ,1,0)*(in_Platform*3+in_OngoingAnnual/4)-IF(S$4&lt;=in_Spread,$K32/in_Spread,0)</f>
        <v>8284.44085113368</v>
      </c>
      <c r="T32" s="140">
        <f>Model!H$47*MIN(1,(T$4-$I32&gt;=1)*INDEX(Model!$D$48:$O$48,1,MAX(1,T$4-$I32))*$H32)*$O32-IF(T$4-$I32&gt;=GoLiveQ,1,0)*(in_Platform*3+in_OngoingAnnual/4)-IF(T$4&lt;=in_Spread,$K32/in_Spread,0)</f>
        <v>16940.6459940143</v>
      </c>
      <c r="U32" s="140">
        <f>Model!I$47*MIN(1,(U$4-$I32&gt;=1)*INDEX(Model!$D$48:$O$48,1,MAX(1,U$4-$I32))*$H32)*$O32-IF(U$4-$I32&gt;=GoLiveQ,1,0)*(in_Platform*3+in_OngoingAnnual/4)-IF(U$4&lt;=in_Spread,$K32/in_Spread,0)</f>
        <v>18966.5663466034</v>
      </c>
      <c r="V32" s="140">
        <f>Model!J$47*MIN(1,(V$4-$I32&gt;=1)*INDEX(Model!$D$48:$O$48,1,MAX(1,V$4-$I32))*$H32)*$O32-IF(V$4-$I32&gt;=GoLiveQ,1,0)*(in_Platform*3+in_OngoingAnnual/4)-IF(V$4&lt;=in_Spread,$K32/in_Spread,0)</f>
        <v>18966.5663466034</v>
      </c>
      <c r="W32" s="140">
        <f>Model!K$47*MIN(1,(W$4-$I32&gt;=1)*INDEX(Model!$D$48:$O$48,1,MAX(1,W$4-$I32))*$H32)*$O32-IF(W$4-$I32&gt;=GoLiveQ,1,0)*(in_Platform*3+in_OngoingAnnual/4)-IF(W$4&lt;=in_Spread,$K32/in_Spread,0)</f>
        <v>18966.5663466034</v>
      </c>
      <c r="X32" s="140">
        <f>Model!L$47*MIN(1,(X$4-$I32&gt;=1)*INDEX(Model!$D$48:$O$48,1,MAX(1,X$4-$I32))*$H32)*$O32-IF(X$4-$I32&gt;=GoLiveQ,1,0)*(in_Platform*3+in_OngoingAnnual/4)-IF(X$4&lt;=in_Spread,$K32/in_Spread,0)</f>
        <v>22613.2229812637</v>
      </c>
      <c r="Y32" s="140">
        <f>Model!M$47*MIN(1,(Y$4-$I32&gt;=1)*INDEX(Model!$D$48:$O$48,1,MAX(1,Y$4-$I32))*$H32)*$O32-IF(Y$4-$I32&gt;=GoLiveQ,1,0)*(in_Platform*3+in_OngoingAnnual/4)-IF(Y$4&lt;=in_Spread,$K32/in_Spread,0)</f>
        <v>22613.2229812637</v>
      </c>
      <c r="Z32" s="140">
        <f>Model!N$47*MIN(1,(Z$4-$I32&gt;=1)*INDEX(Model!$D$48:$O$48,1,MAX(1,Z$4-$I32))*$H32)*$O32-IF(Z$4-$I32&gt;=GoLiveQ,1,0)*(in_Platform*3+in_OngoingAnnual/4)-IF(Z$4&lt;=in_Spread,$K32/in_Spread,0)</f>
        <v>22613.2229812637</v>
      </c>
      <c r="AA32" s="140">
        <f>Model!O$47*MIN(1,(AA$4-$I32&gt;=1)*INDEX(Model!$D$48:$O$48,1,MAX(1,AA$4-$I32))*$H32)*$O32-IF(AA$4-$I32&gt;=GoLiveQ,1,0)*(in_Platform*3+in_OngoingAnnual/4)-IF(AA$4&lt;=in_Spread,$K32/in_Spread,0)</f>
        <v>22613.2229812637</v>
      </c>
      <c r="AB32" s="192">
        <f>SUMPRODUCT(P32:AA32,Model!$D$50:$O$50)</f>
        <v>-3.6652636481449e-10</v>
      </c>
      <c r="AC32" s="140">
        <f>SUM(P32:AA32)</f>
        <v>25995.1355608225</v>
      </c>
    </row>
    <row r="33">
      <c r="B33" s="28" t="inlineStr">
        <is>
          <t>Check rho at break-even</t>
        </is>
      </c>
      <c r="C33" s="76" t="inlineStr">
        <is>
          <t>Break-even check base</t>
        </is>
      </c>
      <c r="D33" s="184">
        <f>Scenarios!$D$20</f>
        <v>0.92</v>
      </c>
      <c r="E33" s="184">
        <f>Scenarios!$D$21</f>
        <v>0.8</v>
      </c>
      <c r="F33" s="185">
        <f>Scenarios!$D$22</f>
        <v>8</v>
      </c>
      <c r="G33" s="193">
        <f>IF(ISNUMBER(L95),L95,D95)</f>
        <v>0.439762490166051</v>
      </c>
      <c r="H33" s="137">
        <f>Scenarios!$D$24</f>
        <v>1</v>
      </c>
      <c r="I33" s="186">
        <f>Scenarios!$D$25</f>
        <v>0</v>
      </c>
      <c r="J33" s="187">
        <f>Scenarios!$D$26</f>
        <v>0.216</v>
      </c>
      <c r="K33" s="188">
        <f>Scenarios!$D$27</f>
        <v>130000</v>
      </c>
      <c r="L33" s="189">
        <f>in_MinsToday-(E33*in_ReviewRate*(F33+(1-D33)*in_CatchRate*in_FixMins)+(1-E33)*in_MinsToday)</f>
        <v>24.784</v>
      </c>
      <c r="M33" s="190">
        <f>IF(L33&gt;0,L33*G33,L33)/60*in_HourlyCost</f>
        <v>8.17430516720656</v>
      </c>
      <c r="N33" s="190">
        <f>in_ErrRateToday*in_ErrCostToday-(E33*(1-D33)*(1-in_ReviewRate*in_CatchRate)*in_ErrCostAI+(1-E33)*in_ErrRateToday*in_ErrCostToday)</f>
        <v>4.32</v>
      </c>
      <c r="O33" s="191">
        <f>M33+N33-J33</f>
        <v>12.2783051672066</v>
      </c>
      <c r="P33" s="140">
        <f>Model!D$47*MIN(1,(P$4-$I33&gt;=1)*INDEX(Model!$D$48:$O$48,1,MAX(1,P$4-$I33))*$H33)*$O33-IF(P$4-$I33&gt;=GoLiveQ,1,0)*(in_Platform*3+in_OngoingAnnual/4)-IF(P$4&lt;=in_Spread,$K33/in_Spread,0)</f>
        <v>-65000</v>
      </c>
      <c r="Q33" s="140">
        <f>Model!E$47*MIN(1,(Q$4-$I33&gt;=1)*INDEX(Model!$D$48:$O$48,1,MAX(1,Q$4-$I33))*$H33)*$O33-IF(Q$4-$I33&gt;=GoLiveQ,1,0)*(in_Platform*3+in_OngoingAnnual/4)-IF(Q$4&lt;=in_Spread,$K33/in_Spread,0)</f>
        <v>-78816.508449838</v>
      </c>
      <c r="R33" s="140">
        <f>Model!F$47*MIN(1,(R$4-$I33&gt;=1)*INDEX(Model!$D$48:$O$48,1,MAX(1,R$4-$I33))*$H33)*$O33-IF(R$4-$I33&gt;=GoLiveQ,1,0)*(in_Platform*3+in_OngoingAnnual/4)-IF(R$4&lt;=in_Spread,$K33/in_Spread,0)</f>
        <v>-2766.03379935212</v>
      </c>
      <c r="S33" s="140">
        <f>Model!G$47*MIN(1,(S$4-$I33&gt;=1)*INDEX(Model!$D$48:$O$48,1,MAX(1,S$4-$I33))*$H33)*$O33-IF(S$4-$I33&gt;=GoLiveQ,1,0)*(in_Platform*3+in_OngoingAnnual/4)-IF(S$4&lt;=in_Spread,$K33/in_Spread,0)</f>
        <v>8284.44085113378</v>
      </c>
      <c r="T33" s="140">
        <f>Model!H$47*MIN(1,(T$4-$I33&gt;=1)*INDEX(Model!$D$48:$O$48,1,MAX(1,T$4-$I33))*$H33)*$O33-IF(T$4-$I33&gt;=GoLiveQ,1,0)*(in_Platform*3+in_OngoingAnnual/4)-IF(T$4&lt;=in_Spread,$K33/in_Spread,0)</f>
        <v>16940.6459940144</v>
      </c>
      <c r="U33" s="140">
        <f>Model!I$47*MIN(1,(U$4-$I33&gt;=1)*INDEX(Model!$D$48:$O$48,1,MAX(1,U$4-$I33))*$H33)*$O33-IF(U$4-$I33&gt;=GoLiveQ,1,0)*(in_Platform*3+in_OngoingAnnual/4)-IF(U$4&lt;=in_Spread,$K33/in_Spread,0)</f>
        <v>18966.5663466035</v>
      </c>
      <c r="V33" s="140">
        <f>Model!J$47*MIN(1,(V$4-$I33&gt;=1)*INDEX(Model!$D$48:$O$48,1,MAX(1,V$4-$I33))*$H33)*$O33-IF(V$4-$I33&gt;=GoLiveQ,1,0)*(in_Platform*3+in_OngoingAnnual/4)-IF(V$4&lt;=in_Spread,$K33/in_Spread,0)</f>
        <v>18966.5663466035</v>
      </c>
      <c r="W33" s="140">
        <f>Model!K$47*MIN(1,(W$4-$I33&gt;=1)*INDEX(Model!$D$48:$O$48,1,MAX(1,W$4-$I33))*$H33)*$O33-IF(W$4-$I33&gt;=GoLiveQ,1,0)*(in_Platform*3+in_OngoingAnnual/4)-IF(W$4&lt;=in_Spread,$K33/in_Spread,0)</f>
        <v>18966.5663466035</v>
      </c>
      <c r="X33" s="140">
        <f>Model!L$47*MIN(1,(X$4-$I33&gt;=1)*INDEX(Model!$D$48:$O$48,1,MAX(1,X$4-$I33))*$H33)*$O33-IF(X$4-$I33&gt;=GoLiveQ,1,0)*(in_Platform*3+in_OngoingAnnual/4)-IF(X$4&lt;=in_Spread,$K33/in_Spread,0)</f>
        <v>22613.2229812638</v>
      </c>
      <c r="Y33" s="140">
        <f>Model!M$47*MIN(1,(Y$4-$I33&gt;=1)*INDEX(Model!$D$48:$O$48,1,MAX(1,Y$4-$I33))*$H33)*$O33-IF(Y$4-$I33&gt;=GoLiveQ,1,0)*(in_Platform*3+in_OngoingAnnual/4)-IF(Y$4&lt;=in_Spread,$K33/in_Spread,0)</f>
        <v>22613.2229812638</v>
      </c>
      <c r="Z33" s="140">
        <f>Model!N$47*MIN(1,(Z$4-$I33&gt;=1)*INDEX(Model!$D$48:$O$48,1,MAX(1,Z$4-$I33))*$H33)*$O33-IF(Z$4-$I33&gt;=GoLiveQ,1,0)*(in_Platform*3+in_OngoingAnnual/4)-IF(Z$4&lt;=in_Spread,$K33/in_Spread,0)</f>
        <v>22613.2229812638</v>
      </c>
      <c r="AA33" s="140">
        <f>Model!O$47*MIN(1,(AA$4-$I33&gt;=1)*INDEX(Model!$D$48:$O$48,1,MAX(1,AA$4-$I33))*$H33)*$O33-IF(AA$4-$I33&gt;=GoLiveQ,1,0)*(in_Platform*3+in_OngoingAnnual/4)-IF(AA$4&lt;=in_Spread,$K33/in_Spread,0)</f>
        <v>22613.2229812638</v>
      </c>
      <c r="AB33" s="192">
        <f>SUMPRODUCT(P33:AA33,Model!$D$50:$O$50)</f>
        <v>7.93079379945993e-10</v>
      </c>
      <c r="AC33" s="140">
        <f>SUM(P33:AA33)</f>
        <v>25995.1355608239</v>
      </c>
    </row>
    <row r="34">
      <c r="B34" s="28" t="inlineStr">
        <is>
          <t>Check am at break-even</t>
        </is>
      </c>
      <c r="C34" s="76" t="inlineStr">
        <is>
          <t>Break-even check base</t>
        </is>
      </c>
      <c r="D34" s="184">
        <f>Scenarios!$D$20</f>
        <v>0.92</v>
      </c>
      <c r="E34" s="184">
        <f>Scenarios!$D$21</f>
        <v>0.8</v>
      </c>
      <c r="F34" s="185">
        <f>Scenarios!$D$22</f>
        <v>8</v>
      </c>
      <c r="G34" s="184">
        <f>Scenarios!$D$23</f>
        <v>0.7</v>
      </c>
      <c r="H34" s="138">
        <f>IF(ISNUMBER(L96),L96,D96)</f>
        <v>0.717375094487283</v>
      </c>
      <c r="I34" s="186">
        <f>Scenarios!$D$25</f>
        <v>0</v>
      </c>
      <c r="J34" s="187">
        <f>Scenarios!$D$26</f>
        <v>0.216</v>
      </c>
      <c r="K34" s="188">
        <f>Scenarios!$D$27</f>
        <v>130000</v>
      </c>
      <c r="L34" s="189">
        <f>in_MinsToday-(E34*in_ReviewRate*(F34+(1-D34)*in_CatchRate*in_FixMins)+(1-E34)*in_MinsToday)</f>
        <v>24.784</v>
      </c>
      <c r="M34" s="190">
        <f>IF(L34&gt;0,L34*G34,L34)/60*in_HourlyCost</f>
        <v>13.0116</v>
      </c>
      <c r="N34" s="190">
        <f>in_ErrRateToday*in_ErrCostToday-(E34*(1-D34)*(1-in_ReviewRate*in_CatchRate)*in_ErrCostAI+(1-E34)*in_ErrRateToday*in_ErrCostToday)</f>
        <v>4.32</v>
      </c>
      <c r="O34" s="191">
        <f>M34+N34-J34</f>
        <v>17.1156</v>
      </c>
      <c r="P34" s="140">
        <f>Model!D$47*MIN(1,(P$4-$I34&gt;=1)*INDEX(Model!$D$48:$O$48,1,MAX(1,P$4-$I34))*$H34)*$O34-IF(P$4-$I34&gt;=GoLiveQ,1,0)*(in_Platform*3+in_OngoingAnnual/4)-IF(P$4&lt;=in_Spread,$K34/in_Spread,0)</f>
        <v>-65000</v>
      </c>
      <c r="Q34" s="140">
        <f>Model!E$47*MIN(1,(Q$4-$I34&gt;=1)*INDEX(Model!$D$48:$O$48,1,MAX(1,Q$4-$I34))*$H34)*$O34-IF(Q$4-$I34&gt;=GoLiveQ,1,0)*(in_Platform*3+in_OngoingAnnual/4)-IF(Q$4&lt;=in_Spread,$K34/in_Spread,0)</f>
        <v>-78816.508449838</v>
      </c>
      <c r="R34" s="140">
        <f>Model!F$47*MIN(1,(R$4-$I34&gt;=1)*INDEX(Model!$D$48:$O$48,1,MAX(1,R$4-$I34))*$H34)*$O34-IF(R$4-$I34&gt;=GoLiveQ,1,0)*(in_Platform*3+in_OngoingAnnual/4)-IF(R$4&lt;=in_Spread,$K34/in_Spread,0)</f>
        <v>-2766.03379935215</v>
      </c>
      <c r="S34" s="140">
        <f>Model!G$47*MIN(1,(S$4-$I34&gt;=1)*INDEX(Model!$D$48:$O$48,1,MAX(1,S$4-$I34))*$H34)*$O34-IF(S$4-$I34&gt;=GoLiveQ,1,0)*(in_Platform*3+in_OngoingAnnual/4)-IF(S$4&lt;=in_Spread,$K34/in_Spread,0)</f>
        <v>8284.44085113373</v>
      </c>
      <c r="T34" s="140">
        <f>Model!H$47*MIN(1,(T$4-$I34&gt;=1)*INDEX(Model!$D$48:$O$48,1,MAX(1,T$4-$I34))*$H34)*$O34-IF(T$4-$I34&gt;=GoLiveQ,1,0)*(in_Platform*3+in_OngoingAnnual/4)-IF(T$4&lt;=in_Spread,$K34/in_Spread,0)</f>
        <v>16940.6459940143</v>
      </c>
      <c r="U34" s="140">
        <f>Model!I$47*MIN(1,(U$4-$I34&gt;=1)*INDEX(Model!$D$48:$O$48,1,MAX(1,U$4-$I34))*$H34)*$O34-IF(U$4-$I34&gt;=GoLiveQ,1,0)*(in_Platform*3+in_OngoingAnnual/4)-IF(U$4&lt;=in_Spread,$K34/in_Spread,0)</f>
        <v>18966.5663466034</v>
      </c>
      <c r="V34" s="140">
        <f>Model!J$47*MIN(1,(V$4-$I34&gt;=1)*INDEX(Model!$D$48:$O$48,1,MAX(1,V$4-$I34))*$H34)*$O34-IF(V$4-$I34&gt;=GoLiveQ,1,0)*(in_Platform*3+in_OngoingAnnual/4)-IF(V$4&lt;=in_Spread,$K34/in_Spread,0)</f>
        <v>18966.5663466034</v>
      </c>
      <c r="W34" s="140">
        <f>Model!K$47*MIN(1,(W$4-$I34&gt;=1)*INDEX(Model!$D$48:$O$48,1,MAX(1,W$4-$I34))*$H34)*$O34-IF(W$4-$I34&gt;=GoLiveQ,1,0)*(in_Platform*3+in_OngoingAnnual/4)-IF(W$4&lt;=in_Spread,$K34/in_Spread,0)</f>
        <v>18966.5663466034</v>
      </c>
      <c r="X34" s="140">
        <f>Model!L$47*MIN(1,(X$4-$I34&gt;=1)*INDEX(Model!$D$48:$O$48,1,MAX(1,X$4-$I34))*$H34)*$O34-IF(X$4-$I34&gt;=GoLiveQ,1,0)*(in_Platform*3+in_OngoingAnnual/4)-IF(X$4&lt;=in_Spread,$K34/in_Spread,0)</f>
        <v>22613.2229812638</v>
      </c>
      <c r="Y34" s="140">
        <f>Model!M$47*MIN(1,(Y$4-$I34&gt;=1)*INDEX(Model!$D$48:$O$48,1,MAX(1,Y$4-$I34))*$H34)*$O34-IF(Y$4-$I34&gt;=GoLiveQ,1,0)*(in_Platform*3+in_OngoingAnnual/4)-IF(Y$4&lt;=in_Spread,$K34/in_Spread,0)</f>
        <v>22613.2229812638</v>
      </c>
      <c r="Z34" s="140">
        <f>Model!N$47*MIN(1,(Z$4-$I34&gt;=1)*INDEX(Model!$D$48:$O$48,1,MAX(1,Z$4-$I34))*$H34)*$O34-IF(Z$4-$I34&gt;=GoLiveQ,1,0)*(in_Platform*3+in_OngoingAnnual/4)-IF(Z$4&lt;=in_Spread,$K34/in_Spread,0)</f>
        <v>22613.2229812638</v>
      </c>
      <c r="AA34" s="140">
        <f>Model!O$47*MIN(1,(AA$4-$I34&gt;=1)*INDEX(Model!$D$48:$O$48,1,MAX(1,AA$4-$I34))*$H34)*$O34-IF(AA$4-$I34&gt;=GoLiveQ,1,0)*(in_Platform*3+in_OngoingAnnual/4)-IF(AA$4&lt;=in_Spread,$K34/in_Spread,0)</f>
        <v>22613.2229812638</v>
      </c>
      <c r="AB34" s="192">
        <f>SUMPRODUCT(P34:AA34,Model!$D$50:$O$50)</f>
        <v>1.97815097635612e-10</v>
      </c>
      <c r="AC34" s="140">
        <f>SUM(P34:AA34)</f>
        <v>25995.1355608232</v>
      </c>
    </row>
    <row r="35">
      <c r="B35" s="28" t="inlineStr">
        <is>
          <t>Check run at break-even</t>
        </is>
      </c>
      <c r="C35" s="76" t="inlineStr">
        <is>
          <t>Break-even check base</t>
        </is>
      </c>
      <c r="D35" s="184">
        <f>Scenarios!$D$20</f>
        <v>0.92</v>
      </c>
      <c r="E35" s="184">
        <f>Scenarios!$D$21</f>
        <v>0.8</v>
      </c>
      <c r="F35" s="185">
        <f>Scenarios!$D$22</f>
        <v>8</v>
      </c>
      <c r="G35" s="184">
        <f>Scenarios!$D$23</f>
        <v>0.7</v>
      </c>
      <c r="H35" s="137">
        <f>Scenarios!$D$24</f>
        <v>1</v>
      </c>
      <c r="I35" s="186">
        <f>Scenarios!$D$25</f>
        <v>0</v>
      </c>
      <c r="J35" s="190">
        <f>IF(ISNUMBER(L97),L97,D97)</f>
        <v>5.05329483279439</v>
      </c>
      <c r="K35" s="188">
        <f>Scenarios!$D$27</f>
        <v>130000</v>
      </c>
      <c r="L35" s="189">
        <f>in_MinsToday-(E35*in_ReviewRate*(F35+(1-D35)*in_CatchRate*in_FixMins)+(1-E35)*in_MinsToday)</f>
        <v>24.784</v>
      </c>
      <c r="M35" s="190">
        <f>IF(L35&gt;0,L35*G35,L35)/60*in_HourlyCost</f>
        <v>13.0116</v>
      </c>
      <c r="N35" s="190">
        <f>in_ErrRateToday*in_ErrCostToday-(E35*(1-D35)*(1-in_ReviewRate*in_CatchRate)*in_ErrCostAI+(1-E35)*in_ErrRateToday*in_ErrCostToday)</f>
        <v>4.32</v>
      </c>
      <c r="O35" s="191">
        <f>M35+N35-J35</f>
        <v>12.2783051672056</v>
      </c>
      <c r="P35" s="140">
        <f>Model!D$47*MIN(1,(P$4-$I35&gt;=1)*INDEX(Model!$D$48:$O$48,1,MAX(1,P$4-$I35))*$H35)*$O35-IF(P$4-$I35&gt;=GoLiveQ,1,0)*(in_Platform*3+in_OngoingAnnual/4)-IF(P$4&lt;=in_Spread,$K35/in_Spread,0)</f>
        <v>-65000</v>
      </c>
      <c r="Q35" s="140">
        <f>Model!E$47*MIN(1,(Q$4-$I35&gt;=1)*INDEX(Model!$D$48:$O$48,1,MAX(1,Q$4-$I35))*$H35)*$O35-IF(Q$4-$I35&gt;=GoLiveQ,1,0)*(in_Platform*3+in_OngoingAnnual/4)-IF(Q$4&lt;=in_Spread,$K35/in_Spread,0)</f>
        <v>-78816.5084498383</v>
      </c>
      <c r="R35" s="140">
        <f>Model!F$47*MIN(1,(R$4-$I35&gt;=1)*INDEX(Model!$D$48:$O$48,1,MAX(1,R$4-$I35))*$H35)*$O35-IF(R$4-$I35&gt;=GoLiveQ,1,0)*(in_Platform*3+in_OngoingAnnual/4)-IF(R$4&lt;=in_Spread,$K35/in_Spread,0)</f>
        <v>-2766.03379935327</v>
      </c>
      <c r="S35" s="140">
        <f>Model!G$47*MIN(1,(S$4-$I35&gt;=1)*INDEX(Model!$D$48:$O$48,1,MAX(1,S$4-$I35))*$H35)*$O35-IF(S$4-$I35&gt;=GoLiveQ,1,0)*(in_Platform*3+in_OngoingAnnual/4)-IF(S$4&lt;=in_Spread,$K35/in_Spread,0)</f>
        <v>8284.44085113177</v>
      </c>
      <c r="T35" s="140">
        <f>Model!H$47*MIN(1,(T$4-$I35&gt;=1)*INDEX(Model!$D$48:$O$48,1,MAX(1,T$4-$I35))*$H35)*$O35-IF(T$4-$I35&gt;=GoLiveQ,1,0)*(in_Platform*3+in_OngoingAnnual/4)-IF(T$4&lt;=in_Spread,$K35/in_Spread,0)</f>
        <v>16940.6459940117</v>
      </c>
      <c r="U35" s="140">
        <f>Model!I$47*MIN(1,(U$4-$I35&gt;=1)*INDEX(Model!$D$48:$O$48,1,MAX(1,U$4-$I35))*$H35)*$O35-IF(U$4-$I35&gt;=GoLiveQ,1,0)*(in_Platform*3+in_OngoingAnnual/4)-IF(U$4&lt;=in_Spread,$K35/in_Spread,0)</f>
        <v>18966.5663466007</v>
      </c>
      <c r="V35" s="140">
        <f>Model!J$47*MIN(1,(V$4-$I35&gt;=1)*INDEX(Model!$D$48:$O$48,1,MAX(1,V$4-$I35))*$H35)*$O35-IF(V$4-$I35&gt;=GoLiveQ,1,0)*(in_Platform*3+in_OngoingAnnual/4)-IF(V$4&lt;=in_Spread,$K35/in_Spread,0)</f>
        <v>18966.5663466007</v>
      </c>
      <c r="W35" s="140">
        <f>Model!K$47*MIN(1,(W$4-$I35&gt;=1)*INDEX(Model!$D$48:$O$48,1,MAX(1,W$4-$I35))*$H35)*$O35-IF(W$4-$I35&gt;=GoLiveQ,1,0)*(in_Platform*3+in_OngoingAnnual/4)-IF(W$4&lt;=in_Spread,$K35/in_Spread,0)</f>
        <v>18966.5663466007</v>
      </c>
      <c r="X35" s="140">
        <f>Model!L$47*MIN(1,(X$4-$I35&gt;=1)*INDEX(Model!$D$48:$O$48,1,MAX(1,X$4-$I35))*$H35)*$O35-IF(X$4-$I35&gt;=GoLiveQ,1,0)*(in_Platform*3+in_OngoingAnnual/4)-IF(X$4&lt;=in_Spread,$K35/in_Spread,0)</f>
        <v>22613.2229812607</v>
      </c>
      <c r="Y35" s="140">
        <f>Model!M$47*MIN(1,(Y$4-$I35&gt;=1)*INDEX(Model!$D$48:$O$48,1,MAX(1,Y$4-$I35))*$H35)*$O35-IF(Y$4-$I35&gt;=GoLiveQ,1,0)*(in_Platform*3+in_OngoingAnnual/4)-IF(Y$4&lt;=in_Spread,$K35/in_Spread,0)</f>
        <v>22613.2229812607</v>
      </c>
      <c r="Z35" s="140">
        <f>Model!N$47*MIN(1,(Z$4-$I35&gt;=1)*INDEX(Model!$D$48:$O$48,1,MAX(1,Z$4-$I35))*$H35)*$O35-IF(Z$4-$I35&gt;=GoLiveQ,1,0)*(in_Platform*3+in_OngoingAnnual/4)-IF(Z$4&lt;=in_Spread,$K35/in_Spread,0)</f>
        <v>22613.2229812607</v>
      </c>
      <c r="AA35" s="140">
        <f>Model!O$47*MIN(1,(AA$4-$I35&gt;=1)*INDEX(Model!$D$48:$O$48,1,MAX(1,AA$4-$I35))*$H35)*$O35-IF(AA$4-$I35&gt;=GoLiveQ,1,0)*(in_Platform*3+in_OngoingAnnual/4)-IF(AA$4&lt;=in_Spread,$K35/in_Spread,0)</f>
        <v>22613.2229812607</v>
      </c>
      <c r="AB35" s="192">
        <f>SUMPRODUCT(P35:AA35,Model!$D$50:$O$50)</f>
        <v>-2.17028173210565e-08</v>
      </c>
      <c r="AC35" s="140">
        <f>SUM(P35:AA35)</f>
        <v>25995.1355607968</v>
      </c>
    </row>
    <row r="36">
      <c r="B36" s="28" t="inlineStr">
        <is>
          <t>Check one at break-even</t>
        </is>
      </c>
      <c r="C36" s="76" t="inlineStr">
        <is>
          <t>Break-even check base</t>
        </is>
      </c>
      <c r="D36" s="184">
        <f>Scenarios!$D$20</f>
        <v>0.92</v>
      </c>
      <c r="E36" s="184">
        <f>Scenarios!$D$21</f>
        <v>0.8</v>
      </c>
      <c r="F36" s="185">
        <f>Scenarios!$D$22</f>
        <v>8</v>
      </c>
      <c r="G36" s="184">
        <f>Scenarios!$D$23</f>
        <v>0.7</v>
      </c>
      <c r="H36" s="137">
        <f>Scenarios!$D$24</f>
        <v>1</v>
      </c>
      <c r="I36" s="186">
        <f>Scenarios!$D$25</f>
        <v>0</v>
      </c>
      <c r="J36" s="187">
        <f>Scenarios!$D$26</f>
        <v>0.216</v>
      </c>
      <c r="K36" s="140">
        <f>IF(ISNUMBER(L98),L98,D98)</f>
        <v>247924.727831702</v>
      </c>
      <c r="L36" s="189">
        <f>in_MinsToday-(E36*in_ReviewRate*(F36+(1-D36)*in_CatchRate*in_FixMins)+(1-E36)*in_MinsToday)</f>
        <v>24.784</v>
      </c>
      <c r="M36" s="190">
        <f>IF(L36&gt;0,L36*G36,L36)/60*in_HourlyCost</f>
        <v>13.0116</v>
      </c>
      <c r="N36" s="190">
        <f>in_ErrRateToday*in_ErrCostToday-(E36*(1-D36)*(1-in_ReviewRate*in_CatchRate)*in_ErrCostAI+(1-E36)*in_ErrRateToday*in_ErrCostToday)</f>
        <v>4.32</v>
      </c>
      <c r="O36" s="191">
        <f>M36+N36-J36</f>
        <v>17.1156</v>
      </c>
      <c r="P36" s="140">
        <f>Model!D$47*MIN(1,(P$4-$I36&gt;=1)*INDEX(Model!$D$48:$O$48,1,MAX(1,P$4-$I36))*$H36)*$O36-IF(P$4-$I36&gt;=GoLiveQ,1,0)*(in_Platform*3+in_OngoingAnnual/4)-IF(P$4&lt;=in_Spread,$K36/in_Spread,0)</f>
        <v>-123962.363915851</v>
      </c>
      <c r="Q36" s="140">
        <f>Model!E$47*MIN(1,(Q$4-$I36&gt;=1)*INDEX(Model!$D$48:$O$48,1,MAX(1,Q$4-$I36))*$H36)*$O36-IF(Q$4-$I36&gt;=GoLiveQ,1,0)*(in_Platform*3+in_OngoingAnnual/4)-IF(Q$4&lt;=in_Spread,$K36/in_Spread,0)</f>
        <v>-136327.683915851</v>
      </c>
      <c r="R36" s="140">
        <f>Model!F$47*MIN(1,(R$4-$I36&gt;=1)*INDEX(Model!$D$48:$O$48,1,MAX(1,R$4-$I36))*$H36)*$O36-IF(R$4-$I36&gt;=GoLiveQ,1,0)*(in_Platform*3+in_OngoingAnnual/4)-IF(R$4&lt;=in_Spread,$K36/in_Spread,0)</f>
        <v>3038.72</v>
      </c>
      <c r="S36" s="140">
        <f>Model!G$47*MIN(1,(S$4-$I36&gt;=1)*INDEX(Model!$D$48:$O$48,1,MAX(1,S$4-$I36))*$H36)*$O36-IF(S$4-$I36&gt;=GoLiveQ,1,0)*(in_Platform*3+in_OngoingAnnual/4)-IF(S$4&lt;=in_Spread,$K36/in_Spread,0)</f>
        <v>18442.76</v>
      </c>
      <c r="T36" s="140">
        <f>Model!H$47*MIN(1,(T$4-$I36&gt;=1)*INDEX(Model!$D$48:$O$48,1,MAX(1,T$4-$I36))*$H36)*$O36-IF(T$4-$I36&gt;=GoLiveQ,1,0)*(in_Platform*3+in_OngoingAnnual/4)-IF(T$4&lt;=in_Spread,$K36/in_Spread,0)</f>
        <v>30509.258</v>
      </c>
      <c r="U36" s="140">
        <f>Model!I$47*MIN(1,(U$4-$I36&gt;=1)*INDEX(Model!$D$48:$O$48,1,MAX(1,U$4-$I36))*$H36)*$O36-IF(U$4-$I36&gt;=GoLiveQ,1,0)*(in_Platform*3+in_OngoingAnnual/4)-IF(U$4&lt;=in_Spread,$K36/in_Spread,0)</f>
        <v>33333.332</v>
      </c>
      <c r="V36" s="140">
        <f>Model!J$47*MIN(1,(V$4-$I36&gt;=1)*INDEX(Model!$D$48:$O$48,1,MAX(1,V$4-$I36))*$H36)*$O36-IF(V$4-$I36&gt;=GoLiveQ,1,0)*(in_Platform*3+in_OngoingAnnual/4)-IF(V$4&lt;=in_Spread,$K36/in_Spread,0)</f>
        <v>33333.332</v>
      </c>
      <c r="W36" s="140">
        <f>Model!K$47*MIN(1,(W$4-$I36&gt;=1)*INDEX(Model!$D$48:$O$48,1,MAX(1,W$4-$I36))*$H36)*$O36-IF(W$4-$I36&gt;=GoLiveQ,1,0)*(in_Platform*3+in_OngoingAnnual/4)-IF(W$4&lt;=in_Spread,$K36/in_Spread,0)</f>
        <v>33333.332</v>
      </c>
      <c r="X36" s="140">
        <f>Model!L$47*MIN(1,(X$4-$I36&gt;=1)*INDEX(Model!$D$48:$O$48,1,MAX(1,X$4-$I36))*$H36)*$O36-IF(X$4-$I36&gt;=GoLiveQ,1,0)*(in_Platform*3+in_OngoingAnnual/4)-IF(X$4&lt;=in_Spread,$K36/in_Spread,0)</f>
        <v>38416.6652</v>
      </c>
      <c r="Y36" s="140">
        <f>Model!M$47*MIN(1,(Y$4-$I36&gt;=1)*INDEX(Model!$D$48:$O$48,1,MAX(1,Y$4-$I36))*$H36)*$O36-IF(Y$4-$I36&gt;=GoLiveQ,1,0)*(in_Platform*3+in_OngoingAnnual/4)-IF(Y$4&lt;=in_Spread,$K36/in_Spread,0)</f>
        <v>38416.6652</v>
      </c>
      <c r="Z36" s="140">
        <f>Model!N$47*MIN(1,(Z$4-$I36&gt;=1)*INDEX(Model!$D$48:$O$48,1,MAX(1,Z$4-$I36))*$H36)*$O36-IF(Z$4-$I36&gt;=GoLiveQ,1,0)*(in_Platform*3+in_OngoingAnnual/4)-IF(Z$4&lt;=in_Spread,$K36/in_Spread,0)</f>
        <v>38416.6652</v>
      </c>
      <c r="AA36" s="140">
        <f>Model!O$47*MIN(1,(AA$4-$I36&gt;=1)*INDEX(Model!$D$48:$O$48,1,MAX(1,AA$4-$I36))*$H36)*$O36-IF(AA$4-$I36&gt;=GoLiveQ,1,0)*(in_Platform*3+in_OngoingAnnual/4)-IF(AA$4&lt;=in_Spread,$K36/in_Spread,0)</f>
        <v>38416.6652</v>
      </c>
      <c r="AB36" s="192">
        <f>SUMPRODUCT(P36:AA36,Model!$D$50:$O$50)</f>
        <v>1.64072844199836e-09</v>
      </c>
      <c r="AC36" s="140">
        <f>SUM(P36:AA36)</f>
        <v>45367.3469682979</v>
      </c>
    </row>
    <row r="37">
      <c r="B37" s="28" t="inlineStr">
        <is>
          <t>AI accuracy on the items it handles at Low</t>
        </is>
      </c>
      <c r="C37" s="76" t="inlineStr">
        <is>
          <t>What moves it most</t>
        </is>
      </c>
      <c r="D37" s="184">
        <f>Scenarios!$C$20</f>
        <v>0.87</v>
      </c>
      <c r="E37" s="184">
        <f>Scenarios!$D$21</f>
        <v>0.8</v>
      </c>
      <c r="F37" s="185">
        <f>Scenarios!$D$22</f>
        <v>8</v>
      </c>
      <c r="G37" s="184">
        <f>Scenarios!$D$23</f>
        <v>0.7</v>
      </c>
      <c r="H37" s="137">
        <f>Scenarios!$D$24</f>
        <v>1</v>
      </c>
      <c r="I37" s="186">
        <f>Scenarios!$D$25</f>
        <v>0</v>
      </c>
      <c r="J37" s="187">
        <f>Scenarios!$D$26</f>
        <v>0.216</v>
      </c>
      <c r="K37" s="188">
        <f>Scenarios!$D$27</f>
        <v>130000</v>
      </c>
      <c r="L37" s="189">
        <f>in_MinsToday-(E37*in_ReviewRate*(F37+(1-D37)*in_CatchRate*in_FixMins)+(1-E37)*in_MinsToday)</f>
        <v>24.274</v>
      </c>
      <c r="M37" s="190">
        <f>IF(L37&gt;0,L37*G37,L37)/60*in_HourlyCost</f>
        <v>12.74385</v>
      </c>
      <c r="N37" s="190">
        <f>in_ErrRateToday*in_ErrCostToday-(E37*(1-D37)*(1-in_ReviewRate*in_CatchRate)*in_ErrCostAI+(1-E37)*in_ErrRateToday*in_ErrCostToday)</f>
        <v>2.52</v>
      </c>
      <c r="O37" s="191">
        <f>M37+N37-J37</f>
        <v>15.04785</v>
      </c>
      <c r="P37" s="140">
        <f>Model!D$47*MIN(1,(P$4-$I37&gt;=1)*INDEX(Model!$D$48:$O$48,1,MAX(1,P$4-$I37))*$H37)*$O37-IF(P$4-$I37&gt;=GoLiveQ,1,0)*(in_Platform*3+in_OngoingAnnual/4)-IF(P$4&lt;=in_Spread,$K37/in_Spread,0)</f>
        <v>-65000</v>
      </c>
      <c r="Q37" s="140">
        <f>Model!E$47*MIN(1,(Q$4-$I37&gt;=1)*INDEX(Model!$D$48:$O$48,1,MAX(1,Q$4-$I37))*$H37)*$O37-IF(Q$4-$I37&gt;=GoLiveQ,1,0)*(in_Platform*3+in_OngoingAnnual/4)-IF(Q$4&lt;=in_Spread,$K37/in_Spread,0)</f>
        <v>-77985.645</v>
      </c>
      <c r="R37" s="140">
        <f>Model!F$47*MIN(1,(R$4-$I37&gt;=1)*INDEX(Model!$D$48:$O$48,1,MAX(1,R$4-$I37))*$H37)*$O37-IF(R$4-$I37&gt;=GoLiveQ,1,0)*(in_Platform*3+in_OngoingAnnual/4)-IF(R$4&lt;=in_Spread,$K37/in_Spread,0)</f>
        <v>557.419999999998</v>
      </c>
      <c r="S37" s="140">
        <f>Model!G$47*MIN(1,(S$4-$I37&gt;=1)*INDEX(Model!$D$48:$O$48,1,MAX(1,S$4-$I37))*$H37)*$O37-IF(S$4-$I37&gt;=GoLiveQ,1,0)*(in_Platform*3+in_OngoingAnnual/4)-IF(S$4&lt;=in_Spread,$K37/in_Spread,0)</f>
        <v>14100.485</v>
      </c>
      <c r="T37" s="140">
        <f>Model!H$47*MIN(1,(T$4-$I37&gt;=1)*INDEX(Model!$D$48:$O$48,1,MAX(1,T$4-$I37))*$H37)*$O37-IF(T$4-$I37&gt;=GoLiveQ,1,0)*(in_Platform*3+in_OngoingAnnual/4)-IF(T$4&lt;=in_Spread,$K37/in_Spread,0)</f>
        <v>24709.21925</v>
      </c>
      <c r="U37" s="140">
        <f>Model!I$47*MIN(1,(U$4-$I37&gt;=1)*INDEX(Model!$D$48:$O$48,1,MAX(1,U$4-$I37))*$H37)*$O37-IF(U$4-$I37&gt;=GoLiveQ,1,0)*(in_Platform*3+in_OngoingAnnual/4)-IF(U$4&lt;=in_Spread,$K37/in_Spread,0)</f>
        <v>27192.1145</v>
      </c>
      <c r="V37" s="140">
        <f>Model!J$47*MIN(1,(V$4-$I37&gt;=1)*INDEX(Model!$D$48:$O$48,1,MAX(1,V$4-$I37))*$H37)*$O37-IF(V$4-$I37&gt;=GoLiveQ,1,0)*(in_Platform*3+in_OngoingAnnual/4)-IF(V$4&lt;=in_Spread,$K37/in_Spread,0)</f>
        <v>27192.1145</v>
      </c>
      <c r="W37" s="140">
        <f>Model!K$47*MIN(1,(W$4-$I37&gt;=1)*INDEX(Model!$D$48:$O$48,1,MAX(1,W$4-$I37))*$H37)*$O37-IF(W$4-$I37&gt;=GoLiveQ,1,0)*(in_Platform*3+in_OngoingAnnual/4)-IF(W$4&lt;=in_Spread,$K37/in_Spread,0)</f>
        <v>27192.1145</v>
      </c>
      <c r="X37" s="140">
        <f>Model!L$47*MIN(1,(X$4-$I37&gt;=1)*INDEX(Model!$D$48:$O$48,1,MAX(1,X$4-$I37))*$H37)*$O37-IF(X$4-$I37&gt;=GoLiveQ,1,0)*(in_Platform*3+in_OngoingAnnual/4)-IF(X$4&lt;=in_Spread,$K37/in_Spread,0)</f>
        <v>31661.32595</v>
      </c>
      <c r="Y37" s="140">
        <f>Model!M$47*MIN(1,(Y$4-$I37&gt;=1)*INDEX(Model!$D$48:$O$48,1,MAX(1,Y$4-$I37))*$H37)*$O37-IF(Y$4-$I37&gt;=GoLiveQ,1,0)*(in_Platform*3+in_OngoingAnnual/4)-IF(Y$4&lt;=in_Spread,$K37/in_Spread,0)</f>
        <v>31661.32595</v>
      </c>
      <c r="Z37" s="140">
        <f>Model!N$47*MIN(1,(Z$4-$I37&gt;=1)*INDEX(Model!$D$48:$O$48,1,MAX(1,Z$4-$I37))*$H37)*$O37-IF(Z$4-$I37&gt;=GoLiveQ,1,0)*(in_Platform*3+in_OngoingAnnual/4)-IF(Z$4&lt;=in_Spread,$K37/in_Spread,0)</f>
        <v>31661.32595</v>
      </c>
      <c r="AA37" s="140">
        <f>Model!O$47*MIN(1,(AA$4-$I37&gt;=1)*INDEX(Model!$D$48:$O$48,1,MAX(1,AA$4-$I37))*$H37)*$O37-IF(AA$4-$I37&gt;=GoLiveQ,1,0)*(in_Platform*3+in_OngoingAnnual/4)-IF(AA$4&lt;=in_Spread,$K37/in_Spread,0)</f>
        <v>31661.32595</v>
      </c>
      <c r="AB37" s="192">
        <f>SUMPRODUCT(P37:AA37,Model!$D$50:$O$50)</f>
        <v>65150.7302232693</v>
      </c>
      <c r="AC37" s="140">
        <f>SUM(P37:AA37)</f>
        <v>104603.12655</v>
      </c>
    </row>
    <row r="38">
      <c r="B38" s="28" t="inlineStr">
        <is>
          <t>AI accuracy on the items it handles at High</t>
        </is>
      </c>
      <c r="C38" s="76" t="inlineStr">
        <is>
          <t>What moves it most</t>
        </is>
      </c>
      <c r="D38" s="184">
        <f>Scenarios!$E$20</f>
        <v>0.94</v>
      </c>
      <c r="E38" s="184">
        <f>Scenarios!$D$21</f>
        <v>0.8</v>
      </c>
      <c r="F38" s="185">
        <f>Scenarios!$D$22</f>
        <v>8</v>
      </c>
      <c r="G38" s="184">
        <f>Scenarios!$D$23</f>
        <v>0.7</v>
      </c>
      <c r="H38" s="137">
        <f>Scenarios!$D$24</f>
        <v>1</v>
      </c>
      <c r="I38" s="186">
        <f>Scenarios!$D$25</f>
        <v>0</v>
      </c>
      <c r="J38" s="187">
        <f>Scenarios!$D$26</f>
        <v>0.216</v>
      </c>
      <c r="K38" s="188">
        <f>Scenarios!$D$27</f>
        <v>130000</v>
      </c>
      <c r="L38" s="189">
        <f>in_MinsToday-(E38*in_ReviewRate*(F38+(1-D38)*in_CatchRate*in_FixMins)+(1-E38)*in_MinsToday)</f>
        <v>24.988</v>
      </c>
      <c r="M38" s="190">
        <f>IF(L38&gt;0,L38*G38,L38)/60*in_HourlyCost</f>
        <v>13.1187</v>
      </c>
      <c r="N38" s="190">
        <f>in_ErrRateToday*in_ErrCostToday-(E38*(1-D38)*(1-in_ReviewRate*in_CatchRate)*in_ErrCostAI+(1-E38)*in_ErrRateToday*in_ErrCostToday)</f>
        <v>5.04</v>
      </c>
      <c r="O38" s="191">
        <f>M38+N38-J38</f>
        <v>17.9427</v>
      </c>
      <c r="P38" s="140">
        <f>Model!D$47*MIN(1,(P$4-$I38&gt;=1)*INDEX(Model!$D$48:$O$48,1,MAX(1,P$4-$I38))*$H38)*$O38-IF(P$4-$I38&gt;=GoLiveQ,1,0)*(in_Platform*3+in_OngoingAnnual/4)-IF(P$4&lt;=in_Spread,$K38/in_Spread,0)</f>
        <v>-65000</v>
      </c>
      <c r="Q38" s="140">
        <f>Model!E$47*MIN(1,(Q$4-$I38&gt;=1)*INDEX(Model!$D$48:$O$48,1,MAX(1,Q$4-$I38))*$H38)*$O38-IF(Q$4-$I38&gt;=GoLiveQ,1,0)*(in_Platform*3+in_OngoingAnnual/4)-IF(Q$4&lt;=in_Spread,$K38/in_Spread,0)</f>
        <v>-77117.19</v>
      </c>
      <c r="R38" s="140">
        <f>Model!F$47*MIN(1,(R$4-$I38&gt;=1)*INDEX(Model!$D$48:$O$48,1,MAX(1,R$4-$I38))*$H38)*$O38-IF(R$4-$I38&gt;=GoLiveQ,1,0)*(in_Platform*3+in_OngoingAnnual/4)-IF(R$4&lt;=in_Spread,$K38/in_Spread,0)</f>
        <v>4031.24</v>
      </c>
      <c r="S38" s="140">
        <f>Model!G$47*MIN(1,(S$4-$I38&gt;=1)*INDEX(Model!$D$48:$O$48,1,MAX(1,S$4-$I38))*$H38)*$O38-IF(S$4-$I38&gt;=GoLiveQ,1,0)*(in_Platform*3+in_OngoingAnnual/4)-IF(S$4&lt;=in_Spread,$K38/in_Spread,0)</f>
        <v>20179.67</v>
      </c>
      <c r="T38" s="140">
        <f>Model!H$47*MIN(1,(T$4-$I38&gt;=1)*INDEX(Model!$D$48:$O$48,1,MAX(1,T$4-$I38))*$H38)*$O38-IF(T$4-$I38&gt;=GoLiveQ,1,0)*(in_Platform*3+in_OngoingAnnual/4)-IF(T$4&lt;=in_Spread,$K38/in_Spread,0)</f>
        <v>32829.2735</v>
      </c>
      <c r="U38" s="140">
        <f>Model!I$47*MIN(1,(U$4-$I38&gt;=1)*INDEX(Model!$D$48:$O$48,1,MAX(1,U$4-$I38))*$H38)*$O38-IF(U$4-$I38&gt;=GoLiveQ,1,0)*(in_Platform*3+in_OngoingAnnual/4)-IF(U$4&lt;=in_Spread,$K38/in_Spread,0)</f>
        <v>35789.819</v>
      </c>
      <c r="V38" s="140">
        <f>Model!J$47*MIN(1,(V$4-$I38&gt;=1)*INDEX(Model!$D$48:$O$48,1,MAX(1,V$4-$I38))*$H38)*$O38-IF(V$4-$I38&gt;=GoLiveQ,1,0)*(in_Platform*3+in_OngoingAnnual/4)-IF(V$4&lt;=in_Spread,$K38/in_Spread,0)</f>
        <v>35789.819</v>
      </c>
      <c r="W38" s="140">
        <f>Model!K$47*MIN(1,(W$4-$I38&gt;=1)*INDEX(Model!$D$48:$O$48,1,MAX(1,W$4-$I38))*$H38)*$O38-IF(W$4-$I38&gt;=GoLiveQ,1,0)*(in_Platform*3+in_OngoingAnnual/4)-IF(W$4&lt;=in_Spread,$K38/in_Spread,0)</f>
        <v>35789.819</v>
      </c>
      <c r="X38" s="140">
        <f>Model!L$47*MIN(1,(X$4-$I38&gt;=1)*INDEX(Model!$D$48:$O$48,1,MAX(1,X$4-$I38))*$H38)*$O38-IF(X$4-$I38&gt;=GoLiveQ,1,0)*(in_Platform*3+in_OngoingAnnual/4)-IF(X$4&lt;=in_Spread,$K38/in_Spread,0)</f>
        <v>41118.8009</v>
      </c>
      <c r="Y38" s="140">
        <f>Model!M$47*MIN(1,(Y$4-$I38&gt;=1)*INDEX(Model!$D$48:$O$48,1,MAX(1,Y$4-$I38))*$H38)*$O38-IF(Y$4-$I38&gt;=GoLiveQ,1,0)*(in_Platform*3+in_OngoingAnnual/4)-IF(Y$4&lt;=in_Spread,$K38/in_Spread,0)</f>
        <v>41118.8009</v>
      </c>
      <c r="Z38" s="140">
        <f>Model!N$47*MIN(1,(Z$4-$I38&gt;=1)*INDEX(Model!$D$48:$O$48,1,MAX(1,Z$4-$I38))*$H38)*$O38-IF(Z$4-$I38&gt;=GoLiveQ,1,0)*(in_Platform*3+in_OngoingAnnual/4)-IF(Z$4&lt;=in_Spread,$K38/in_Spread,0)</f>
        <v>41118.8009</v>
      </c>
      <c r="AA38" s="140">
        <f>Model!O$47*MIN(1,(AA$4-$I38&gt;=1)*INDEX(Model!$D$48:$O$48,1,MAX(1,AA$4-$I38))*$H38)*$O38-IF(AA$4-$I38&gt;=GoLiveQ,1,0)*(in_Platform*3+in_OngoingAnnual/4)-IF(AA$4&lt;=in_Spread,$K38/in_Spread,0)</f>
        <v>41118.8009</v>
      </c>
      <c r="AB38" s="192">
        <f>SUMPRODUCT(P38:AA38,Model!$D$50:$O$50)</f>
        <v>133249.137280504</v>
      </c>
      <c r="AC38" s="140">
        <f>SUM(P38:AA38)</f>
        <v>186767.6541</v>
      </c>
    </row>
    <row r="39">
      <c r="B39" s="28" t="inlineStr">
        <is>
          <t>Share of items the AI handles at Low</t>
        </is>
      </c>
      <c r="C39" s="76" t="inlineStr">
        <is>
          <t>What moves it most</t>
        </is>
      </c>
      <c r="D39" s="184">
        <f>Scenarios!$D$20</f>
        <v>0.92</v>
      </c>
      <c r="E39" s="184">
        <f>Scenarios!$C$21</f>
        <v>0.7</v>
      </c>
      <c r="F39" s="185">
        <f>Scenarios!$D$22</f>
        <v>8</v>
      </c>
      <c r="G39" s="184">
        <f>Scenarios!$D$23</f>
        <v>0.7</v>
      </c>
      <c r="H39" s="137">
        <f>Scenarios!$D$24</f>
        <v>1</v>
      </c>
      <c r="I39" s="186">
        <f>Scenarios!$D$25</f>
        <v>0</v>
      </c>
      <c r="J39" s="187">
        <f>Scenarios!$D$26</f>
        <v>0.216</v>
      </c>
      <c r="K39" s="188">
        <f>Scenarios!$D$27</f>
        <v>130000</v>
      </c>
      <c r="L39" s="189">
        <f>in_MinsToday-(E39*in_ReviewRate*(F39+(1-D39)*in_CatchRate*in_FixMins)+(1-E39)*in_MinsToday)</f>
        <v>21.686</v>
      </c>
      <c r="M39" s="190">
        <f>IF(L39&gt;0,L39*G39,L39)/60*in_HourlyCost</f>
        <v>11.38515</v>
      </c>
      <c r="N39" s="190">
        <f>in_ErrRateToday*in_ErrCostToday-(E39*(1-D39)*(1-in_ReviewRate*in_CatchRate)*in_ErrCostAI+(1-E39)*in_ErrRateToday*in_ErrCostToday)</f>
        <v>3.78</v>
      </c>
      <c r="O39" s="191">
        <f>M39+N39-J39</f>
        <v>14.94915</v>
      </c>
      <c r="P39" s="140">
        <f>Model!D$47*MIN(1,(P$4-$I39&gt;=1)*INDEX(Model!$D$48:$O$48,1,MAX(1,P$4-$I39))*$H39)*$O39-IF(P$4-$I39&gt;=GoLiveQ,1,0)*(in_Platform*3+in_OngoingAnnual/4)-IF(P$4&lt;=in_Spread,$K39/in_Spread,0)</f>
        <v>-65000</v>
      </c>
      <c r="Q39" s="140">
        <f>Model!E$47*MIN(1,(Q$4-$I39&gt;=1)*INDEX(Model!$D$48:$O$48,1,MAX(1,Q$4-$I39))*$H39)*$O39-IF(Q$4-$I39&gt;=GoLiveQ,1,0)*(in_Platform*3+in_OngoingAnnual/4)-IF(Q$4&lt;=in_Spread,$K39/in_Spread,0)</f>
        <v>-78015.255</v>
      </c>
      <c r="R39" s="140">
        <f>Model!F$47*MIN(1,(R$4-$I39&gt;=1)*INDEX(Model!$D$48:$O$48,1,MAX(1,R$4-$I39))*$H39)*$O39-IF(R$4-$I39&gt;=GoLiveQ,1,0)*(in_Platform*3+in_OngoingAnnual/4)-IF(R$4&lt;=in_Spread,$K39/in_Spread,0)</f>
        <v>438.980000000003</v>
      </c>
      <c r="S39" s="140">
        <f>Model!G$47*MIN(1,(S$4-$I39&gt;=1)*INDEX(Model!$D$48:$O$48,1,MAX(1,S$4-$I39))*$H39)*$O39-IF(S$4-$I39&gt;=GoLiveQ,1,0)*(in_Platform*3+in_OngoingAnnual/4)-IF(S$4&lt;=in_Spread,$K39/in_Spread,0)</f>
        <v>13893.215</v>
      </c>
      <c r="T39" s="140">
        <f>Model!H$47*MIN(1,(T$4-$I39&gt;=1)*INDEX(Model!$D$48:$O$48,1,MAX(1,T$4-$I39))*$H39)*$O39-IF(T$4-$I39&gt;=GoLiveQ,1,0)*(in_Platform*3+in_OngoingAnnual/4)-IF(T$4&lt;=in_Spread,$K39/in_Spread,0)</f>
        <v>24432.36575</v>
      </c>
      <c r="U39" s="140">
        <f>Model!I$47*MIN(1,(U$4-$I39&gt;=1)*INDEX(Model!$D$48:$O$48,1,MAX(1,U$4-$I39))*$H39)*$O39-IF(U$4-$I39&gt;=GoLiveQ,1,0)*(in_Platform*3+in_OngoingAnnual/4)-IF(U$4&lt;=in_Spread,$K39/in_Spread,0)</f>
        <v>26898.9755</v>
      </c>
      <c r="V39" s="140">
        <f>Model!J$47*MIN(1,(V$4-$I39&gt;=1)*INDEX(Model!$D$48:$O$48,1,MAX(1,V$4-$I39))*$H39)*$O39-IF(V$4-$I39&gt;=GoLiveQ,1,0)*(in_Platform*3+in_OngoingAnnual/4)-IF(V$4&lt;=in_Spread,$K39/in_Spread,0)</f>
        <v>26898.9755</v>
      </c>
      <c r="W39" s="140">
        <f>Model!K$47*MIN(1,(W$4-$I39&gt;=1)*INDEX(Model!$D$48:$O$48,1,MAX(1,W$4-$I39))*$H39)*$O39-IF(W$4-$I39&gt;=GoLiveQ,1,0)*(in_Platform*3+in_OngoingAnnual/4)-IF(W$4&lt;=in_Spread,$K39/in_Spread,0)</f>
        <v>26898.9755</v>
      </c>
      <c r="X39" s="140">
        <f>Model!L$47*MIN(1,(X$4-$I39&gt;=1)*INDEX(Model!$D$48:$O$48,1,MAX(1,X$4-$I39))*$H39)*$O39-IF(X$4-$I39&gt;=GoLiveQ,1,0)*(in_Platform*3+in_OngoingAnnual/4)-IF(X$4&lt;=in_Spread,$K39/in_Spread,0)</f>
        <v>31338.87305</v>
      </c>
      <c r="Y39" s="140">
        <f>Model!M$47*MIN(1,(Y$4-$I39&gt;=1)*INDEX(Model!$D$48:$O$48,1,MAX(1,Y$4-$I39))*$H39)*$O39-IF(Y$4-$I39&gt;=GoLiveQ,1,0)*(in_Platform*3+in_OngoingAnnual/4)-IF(Y$4&lt;=in_Spread,$K39/in_Spread,0)</f>
        <v>31338.87305</v>
      </c>
      <c r="Z39" s="140">
        <f>Model!N$47*MIN(1,(Z$4-$I39&gt;=1)*INDEX(Model!$D$48:$O$48,1,MAX(1,Z$4-$I39))*$H39)*$O39-IF(Z$4-$I39&gt;=GoLiveQ,1,0)*(in_Platform*3+in_OngoingAnnual/4)-IF(Z$4&lt;=in_Spread,$K39/in_Spread,0)</f>
        <v>31338.87305</v>
      </c>
      <c r="AA39" s="140">
        <f>Model!O$47*MIN(1,(AA$4-$I39&gt;=1)*INDEX(Model!$D$48:$O$48,1,MAX(1,AA$4-$I39))*$H39)*$O39-IF(AA$4-$I39&gt;=GoLiveQ,1,0)*(in_Platform*3+in_OngoingAnnual/4)-IF(AA$4&lt;=in_Spread,$K39/in_Spread,0)</f>
        <v>31338.87305</v>
      </c>
      <c r="AB39" s="192">
        <f>SUMPRODUCT(P39:AA39,Model!$D$50:$O$50)</f>
        <v>62828.9129351373</v>
      </c>
      <c r="AC39" s="140">
        <f>SUM(P39:AA39)</f>
        <v>101801.72445</v>
      </c>
    </row>
    <row r="40">
      <c r="B40" s="28" t="inlineStr">
        <is>
          <t>Share of items the AI handles at High</t>
        </is>
      </c>
      <c r="C40" s="76" t="inlineStr">
        <is>
          <t>What moves it most</t>
        </is>
      </c>
      <c r="D40" s="184">
        <f>Scenarios!$D$20</f>
        <v>0.92</v>
      </c>
      <c r="E40" s="184">
        <f>Scenarios!$E$21</f>
        <v>0.85</v>
      </c>
      <c r="F40" s="185">
        <f>Scenarios!$D$22</f>
        <v>8</v>
      </c>
      <c r="G40" s="184">
        <f>Scenarios!$D$23</f>
        <v>0.7</v>
      </c>
      <c r="H40" s="137">
        <f>Scenarios!$D$24</f>
        <v>1</v>
      </c>
      <c r="I40" s="186">
        <f>Scenarios!$D$25</f>
        <v>0</v>
      </c>
      <c r="J40" s="187">
        <f>Scenarios!$D$26</f>
        <v>0.216</v>
      </c>
      <c r="K40" s="188">
        <f>Scenarios!$D$27</f>
        <v>130000</v>
      </c>
      <c r="L40" s="189">
        <f>in_MinsToday-(E40*in_ReviewRate*(F40+(1-D40)*in_CatchRate*in_FixMins)+(1-E40)*in_MinsToday)</f>
        <v>26.333</v>
      </c>
      <c r="M40" s="190">
        <f>IF(L40&gt;0,L40*G40,L40)/60*in_HourlyCost</f>
        <v>13.824825</v>
      </c>
      <c r="N40" s="190">
        <f>in_ErrRateToday*in_ErrCostToday-(E40*(1-D40)*(1-in_ReviewRate*in_CatchRate)*in_ErrCostAI+(1-E40)*in_ErrRateToday*in_ErrCostToday)</f>
        <v>4.59</v>
      </c>
      <c r="O40" s="191">
        <f>M40+N40-J40</f>
        <v>18.198825</v>
      </c>
      <c r="P40" s="140">
        <f>Model!D$47*MIN(1,(P$4-$I40&gt;=1)*INDEX(Model!$D$48:$O$48,1,MAX(1,P$4-$I40))*$H40)*$O40-IF(P$4-$I40&gt;=GoLiveQ,1,0)*(in_Platform*3+in_OngoingAnnual/4)-IF(P$4&lt;=in_Spread,$K40/in_Spread,0)</f>
        <v>-65000</v>
      </c>
      <c r="Q40" s="140">
        <f>Model!E$47*MIN(1,(Q$4-$I40&gt;=1)*INDEX(Model!$D$48:$O$48,1,MAX(1,Q$4-$I40))*$H40)*$O40-IF(Q$4-$I40&gt;=GoLiveQ,1,0)*(in_Platform*3+in_OngoingAnnual/4)-IF(Q$4&lt;=in_Spread,$K40/in_Spread,0)</f>
        <v>-77040.3525</v>
      </c>
      <c r="R40" s="140">
        <f>Model!F$47*MIN(1,(R$4-$I40&gt;=1)*INDEX(Model!$D$48:$O$48,1,MAX(1,R$4-$I40))*$H40)*$O40-IF(R$4-$I40&gt;=GoLiveQ,1,0)*(in_Platform*3+in_OngoingAnnual/4)-IF(R$4&lt;=in_Spread,$K40/in_Spread,0)</f>
        <v>4338.59</v>
      </c>
      <c r="S40" s="140">
        <f>Model!G$47*MIN(1,(S$4-$I40&gt;=1)*INDEX(Model!$D$48:$O$48,1,MAX(1,S$4-$I40))*$H40)*$O40-IF(S$4-$I40&gt;=GoLiveQ,1,0)*(in_Platform*3+in_OngoingAnnual/4)-IF(S$4&lt;=in_Spread,$K40/in_Spread,0)</f>
        <v>20717.5325</v>
      </c>
      <c r="T40" s="140">
        <f>Model!H$47*MIN(1,(T$4-$I40&gt;=1)*INDEX(Model!$D$48:$O$48,1,MAX(1,T$4-$I40))*$H40)*$O40-IF(T$4-$I40&gt;=GoLiveQ,1,0)*(in_Platform*3+in_OngoingAnnual/4)-IF(T$4&lt;=in_Spread,$K40/in_Spread,0)</f>
        <v>33547.704125</v>
      </c>
      <c r="U40" s="140">
        <f>Model!I$47*MIN(1,(U$4-$I40&gt;=1)*INDEX(Model!$D$48:$O$48,1,MAX(1,U$4-$I40))*$H40)*$O40-IF(U$4-$I40&gt;=GoLiveQ,1,0)*(in_Platform*3+in_OngoingAnnual/4)-IF(U$4&lt;=in_Spread,$K40/in_Spread,0)</f>
        <v>36550.51025</v>
      </c>
      <c r="V40" s="140">
        <f>Model!J$47*MIN(1,(V$4-$I40&gt;=1)*INDEX(Model!$D$48:$O$48,1,MAX(1,V$4-$I40))*$H40)*$O40-IF(V$4-$I40&gt;=GoLiveQ,1,0)*(in_Platform*3+in_OngoingAnnual/4)-IF(V$4&lt;=in_Spread,$K40/in_Spread,0)</f>
        <v>36550.51025</v>
      </c>
      <c r="W40" s="140">
        <f>Model!K$47*MIN(1,(W$4-$I40&gt;=1)*INDEX(Model!$D$48:$O$48,1,MAX(1,W$4-$I40))*$H40)*$O40-IF(W$4-$I40&gt;=GoLiveQ,1,0)*(in_Platform*3+in_OngoingAnnual/4)-IF(W$4&lt;=in_Spread,$K40/in_Spread,0)</f>
        <v>36550.51025</v>
      </c>
      <c r="X40" s="140">
        <f>Model!L$47*MIN(1,(X$4-$I40&gt;=1)*INDEX(Model!$D$48:$O$48,1,MAX(1,X$4-$I40))*$H40)*$O40-IF(X$4-$I40&gt;=GoLiveQ,1,0)*(in_Platform*3+in_OngoingAnnual/4)-IF(X$4&lt;=in_Spread,$K40/in_Spread,0)</f>
        <v>41955.561275</v>
      </c>
      <c r="Y40" s="140">
        <f>Model!M$47*MIN(1,(Y$4-$I40&gt;=1)*INDEX(Model!$D$48:$O$48,1,MAX(1,Y$4-$I40))*$H40)*$O40-IF(Y$4-$I40&gt;=GoLiveQ,1,0)*(in_Platform*3+in_OngoingAnnual/4)-IF(Y$4&lt;=in_Spread,$K40/in_Spread,0)</f>
        <v>41955.561275</v>
      </c>
      <c r="Z40" s="140">
        <f>Model!N$47*MIN(1,(Z$4-$I40&gt;=1)*INDEX(Model!$D$48:$O$48,1,MAX(1,Z$4-$I40))*$H40)*$O40-IF(Z$4-$I40&gt;=GoLiveQ,1,0)*(in_Platform*3+in_OngoingAnnual/4)-IF(Z$4&lt;=in_Spread,$K40/in_Spread,0)</f>
        <v>41955.561275</v>
      </c>
      <c r="AA40" s="140">
        <f>Model!O$47*MIN(1,(AA$4-$I40&gt;=1)*INDEX(Model!$D$48:$O$48,1,MAX(1,AA$4-$I40))*$H40)*$O40-IF(AA$4-$I40&gt;=GoLiveQ,1,0)*(in_Platform*3+in_OngoingAnnual/4)-IF(AA$4&lt;=in_Spread,$K40/in_Spread,0)</f>
        <v>41955.561275</v>
      </c>
      <c r="AB40" s="192">
        <f>SUMPRODUCT(P40:AA40,Model!$D$50:$O$50)</f>
        <v>139274.21785723</v>
      </c>
      <c r="AC40" s="140">
        <f>SUM(P40:AA40)</f>
        <v>194037.249975</v>
      </c>
    </row>
    <row r="41">
      <c r="B41" s="28" t="inlineStr">
        <is>
          <t>Human minutes per reviewed item at Low</t>
        </is>
      </c>
      <c r="C41" s="76" t="inlineStr">
        <is>
          <t>What moves it most</t>
        </is>
      </c>
      <c r="D41" s="184">
        <f>Scenarios!$D$20</f>
        <v>0.92</v>
      </c>
      <c r="E41" s="184">
        <f>Scenarios!$D$21</f>
        <v>0.8</v>
      </c>
      <c r="F41" s="185">
        <f>Scenarios!$C$22</f>
        <v>12</v>
      </c>
      <c r="G41" s="184">
        <f>Scenarios!$D$23</f>
        <v>0.7</v>
      </c>
      <c r="H41" s="137">
        <f>Scenarios!$D$24</f>
        <v>1</v>
      </c>
      <c r="I41" s="186">
        <f>Scenarios!$D$25</f>
        <v>0</v>
      </c>
      <c r="J41" s="187">
        <f>Scenarios!$D$26</f>
        <v>0.216</v>
      </c>
      <c r="K41" s="188">
        <f>Scenarios!$D$27</f>
        <v>130000</v>
      </c>
      <c r="L41" s="189">
        <f>in_MinsToday-(E41*in_ReviewRate*(F41+(1-D41)*in_CatchRate*in_FixMins)+(1-E41)*in_MinsToday)</f>
        <v>21.584</v>
      </c>
      <c r="M41" s="190">
        <f>IF(L41&gt;0,L41*G41,L41)/60*in_HourlyCost</f>
        <v>11.3316</v>
      </c>
      <c r="N41" s="190">
        <f>in_ErrRateToday*in_ErrCostToday-(E41*(1-D41)*(1-in_ReviewRate*in_CatchRate)*in_ErrCostAI+(1-E41)*in_ErrRateToday*in_ErrCostToday)</f>
        <v>4.32</v>
      </c>
      <c r="O41" s="191">
        <f>M41+N41-J41</f>
        <v>15.4356</v>
      </c>
      <c r="P41" s="140">
        <f>Model!D$47*MIN(1,(P$4-$I41&gt;=1)*INDEX(Model!$D$48:$O$48,1,MAX(1,P$4-$I41))*$H41)*$O41-IF(P$4-$I41&gt;=GoLiveQ,1,0)*(in_Platform*3+in_OngoingAnnual/4)-IF(P$4&lt;=in_Spread,$K41/in_Spread,0)</f>
        <v>-65000</v>
      </c>
      <c r="Q41" s="140">
        <f>Model!E$47*MIN(1,(Q$4-$I41&gt;=1)*INDEX(Model!$D$48:$O$48,1,MAX(1,Q$4-$I41))*$H41)*$O41-IF(Q$4-$I41&gt;=GoLiveQ,1,0)*(in_Platform*3+in_OngoingAnnual/4)-IF(Q$4&lt;=in_Spread,$K41/in_Spread,0)</f>
        <v>-77869.32</v>
      </c>
      <c r="R41" s="140">
        <f>Model!F$47*MIN(1,(R$4-$I41&gt;=1)*INDEX(Model!$D$48:$O$48,1,MAX(1,R$4-$I41))*$H41)*$O41-IF(R$4-$I41&gt;=GoLiveQ,1,0)*(in_Platform*3+in_OngoingAnnual/4)-IF(R$4&lt;=in_Spread,$K41/in_Spread,0)</f>
        <v>1022.72</v>
      </c>
      <c r="S41" s="140">
        <f>Model!G$47*MIN(1,(S$4-$I41&gt;=1)*INDEX(Model!$D$48:$O$48,1,MAX(1,S$4-$I41))*$H41)*$O41-IF(S$4-$I41&gt;=GoLiveQ,1,0)*(in_Platform*3+in_OngoingAnnual/4)-IF(S$4&lt;=in_Spread,$K41/in_Spread,0)</f>
        <v>14914.76</v>
      </c>
      <c r="T41" s="140">
        <f>Model!H$47*MIN(1,(T$4-$I41&gt;=1)*INDEX(Model!$D$48:$O$48,1,MAX(1,T$4-$I41))*$H41)*$O41-IF(T$4-$I41&gt;=GoLiveQ,1,0)*(in_Platform*3+in_OngoingAnnual/4)-IF(T$4&lt;=in_Spread,$K41/in_Spread,0)</f>
        <v>25796.858</v>
      </c>
      <c r="U41" s="140">
        <f>Model!I$47*MIN(1,(U$4-$I41&gt;=1)*INDEX(Model!$D$48:$O$48,1,MAX(1,U$4-$I41))*$H41)*$O41-IF(U$4-$I41&gt;=GoLiveQ,1,0)*(in_Platform*3+in_OngoingAnnual/4)-IF(U$4&lt;=in_Spread,$K41/in_Spread,0)</f>
        <v>28343.732</v>
      </c>
      <c r="V41" s="140">
        <f>Model!J$47*MIN(1,(V$4-$I41&gt;=1)*INDEX(Model!$D$48:$O$48,1,MAX(1,V$4-$I41))*$H41)*$O41-IF(V$4-$I41&gt;=GoLiveQ,1,0)*(in_Platform*3+in_OngoingAnnual/4)-IF(V$4&lt;=in_Spread,$K41/in_Spread,0)</f>
        <v>28343.732</v>
      </c>
      <c r="W41" s="140">
        <f>Model!K$47*MIN(1,(W$4-$I41&gt;=1)*INDEX(Model!$D$48:$O$48,1,MAX(1,W$4-$I41))*$H41)*$O41-IF(W$4-$I41&gt;=GoLiveQ,1,0)*(in_Platform*3+in_OngoingAnnual/4)-IF(W$4&lt;=in_Spread,$K41/in_Spread,0)</f>
        <v>28343.732</v>
      </c>
      <c r="X41" s="140">
        <f>Model!L$47*MIN(1,(X$4-$I41&gt;=1)*INDEX(Model!$D$48:$O$48,1,MAX(1,X$4-$I41))*$H41)*$O41-IF(X$4-$I41&gt;=GoLiveQ,1,0)*(in_Platform*3+in_OngoingAnnual/4)-IF(X$4&lt;=in_Spread,$K41/in_Spread,0)</f>
        <v>32928.1052</v>
      </c>
      <c r="Y41" s="140">
        <f>Model!M$47*MIN(1,(Y$4-$I41&gt;=1)*INDEX(Model!$D$48:$O$48,1,MAX(1,Y$4-$I41))*$H41)*$O41-IF(Y$4-$I41&gt;=GoLiveQ,1,0)*(in_Platform*3+in_OngoingAnnual/4)-IF(Y$4&lt;=in_Spread,$K41/in_Spread,0)</f>
        <v>32928.1052</v>
      </c>
      <c r="Z41" s="140">
        <f>Model!N$47*MIN(1,(Z$4-$I41&gt;=1)*INDEX(Model!$D$48:$O$48,1,MAX(1,Z$4-$I41))*$H41)*$O41-IF(Z$4-$I41&gt;=GoLiveQ,1,0)*(in_Platform*3+in_OngoingAnnual/4)-IF(Z$4&lt;=in_Spread,$K41/in_Spread,0)</f>
        <v>32928.1052</v>
      </c>
      <c r="AA41" s="140">
        <f>Model!O$47*MIN(1,(AA$4-$I41&gt;=1)*INDEX(Model!$D$48:$O$48,1,MAX(1,AA$4-$I41))*$H41)*$O41-IF(AA$4-$I41&gt;=GoLiveQ,1,0)*(in_Platform*3+in_OngoingAnnual/4)-IF(AA$4&lt;=in_Spread,$K41/in_Spread,0)</f>
        <v>32928.1052</v>
      </c>
      <c r="AB41" s="192">
        <f>SUMPRODUCT(P41:AA41,Model!$D$50:$O$50)</f>
        <v>74272.1552837881</v>
      </c>
      <c r="AC41" s="140">
        <f>SUM(P41:AA41)</f>
        <v>115608.6348</v>
      </c>
    </row>
    <row r="42">
      <c r="B42" s="28" t="inlineStr">
        <is>
          <t>Human minutes per reviewed item at High</t>
        </is>
      </c>
      <c r="C42" s="76" t="inlineStr">
        <is>
          <t>What moves it most</t>
        </is>
      </c>
      <c r="D42" s="184">
        <f>Scenarios!$D$20</f>
        <v>0.92</v>
      </c>
      <c r="E42" s="184">
        <f>Scenarios!$D$21</f>
        <v>0.8</v>
      </c>
      <c r="F42" s="185">
        <f>Scenarios!$E$22</f>
        <v>6.8</v>
      </c>
      <c r="G42" s="184">
        <f>Scenarios!$D$23</f>
        <v>0.7</v>
      </c>
      <c r="H42" s="137">
        <f>Scenarios!$D$24</f>
        <v>1</v>
      </c>
      <c r="I42" s="186">
        <f>Scenarios!$D$25</f>
        <v>0</v>
      </c>
      <c r="J42" s="187">
        <f>Scenarios!$D$26</f>
        <v>0.216</v>
      </c>
      <c r="K42" s="188">
        <f>Scenarios!$D$27</f>
        <v>130000</v>
      </c>
      <c r="L42" s="189">
        <f>in_MinsToday-(E42*in_ReviewRate*(F42+(1-D42)*in_CatchRate*in_FixMins)+(1-E42)*in_MinsToday)</f>
        <v>25.744</v>
      </c>
      <c r="M42" s="190">
        <f>IF(L42&gt;0,L42*G42,L42)/60*in_HourlyCost</f>
        <v>13.5156</v>
      </c>
      <c r="N42" s="190">
        <f>in_ErrRateToday*in_ErrCostToday-(E42*(1-D42)*(1-in_ReviewRate*in_CatchRate)*in_ErrCostAI+(1-E42)*in_ErrRateToday*in_ErrCostToday)</f>
        <v>4.32</v>
      </c>
      <c r="O42" s="191">
        <f>M42+N42-J42</f>
        <v>17.6196</v>
      </c>
      <c r="P42" s="140">
        <f>Model!D$47*MIN(1,(P$4-$I42&gt;=1)*INDEX(Model!$D$48:$O$48,1,MAX(1,P$4-$I42))*$H42)*$O42-IF(P$4-$I42&gt;=GoLiveQ,1,0)*(in_Platform*3+in_OngoingAnnual/4)-IF(P$4&lt;=in_Spread,$K42/in_Spread,0)</f>
        <v>-65000</v>
      </c>
      <c r="Q42" s="140">
        <f>Model!E$47*MIN(1,(Q$4-$I42&gt;=1)*INDEX(Model!$D$48:$O$48,1,MAX(1,Q$4-$I42))*$H42)*$O42-IF(Q$4-$I42&gt;=GoLiveQ,1,0)*(in_Platform*3+in_OngoingAnnual/4)-IF(Q$4&lt;=in_Spread,$K42/in_Spread,0)</f>
        <v>-77214.12</v>
      </c>
      <c r="R42" s="140">
        <f>Model!F$47*MIN(1,(R$4-$I42&gt;=1)*INDEX(Model!$D$48:$O$48,1,MAX(1,R$4-$I42))*$H42)*$O42-IF(R$4-$I42&gt;=GoLiveQ,1,0)*(in_Platform*3+in_OngoingAnnual/4)-IF(R$4&lt;=in_Spread,$K42/in_Spread,0)</f>
        <v>3643.52</v>
      </c>
      <c r="S42" s="140">
        <f>Model!G$47*MIN(1,(S$4-$I42&gt;=1)*INDEX(Model!$D$48:$O$48,1,MAX(1,S$4-$I42))*$H42)*$O42-IF(S$4-$I42&gt;=GoLiveQ,1,0)*(in_Platform*3+in_OngoingAnnual/4)-IF(S$4&lt;=in_Spread,$K42/in_Spread,0)</f>
        <v>19501.16</v>
      </c>
      <c r="T42" s="140">
        <f>Model!H$47*MIN(1,(T$4-$I42&gt;=1)*INDEX(Model!$D$48:$O$48,1,MAX(1,T$4-$I42))*$H42)*$O42-IF(T$4-$I42&gt;=GoLiveQ,1,0)*(in_Platform*3+in_OngoingAnnual/4)-IF(T$4&lt;=in_Spread,$K42/in_Spread,0)</f>
        <v>31922.978</v>
      </c>
      <c r="U42" s="140">
        <f>Model!I$47*MIN(1,(U$4-$I42&gt;=1)*INDEX(Model!$D$48:$O$48,1,MAX(1,U$4-$I42))*$H42)*$O42-IF(U$4-$I42&gt;=GoLiveQ,1,0)*(in_Platform*3+in_OngoingAnnual/4)-IF(U$4&lt;=in_Spread,$K42/in_Spread,0)</f>
        <v>34830.212</v>
      </c>
      <c r="V42" s="140">
        <f>Model!J$47*MIN(1,(V$4-$I42&gt;=1)*INDEX(Model!$D$48:$O$48,1,MAX(1,V$4-$I42))*$H42)*$O42-IF(V$4-$I42&gt;=GoLiveQ,1,0)*(in_Platform*3+in_OngoingAnnual/4)-IF(V$4&lt;=in_Spread,$K42/in_Spread,0)</f>
        <v>34830.212</v>
      </c>
      <c r="W42" s="140">
        <f>Model!K$47*MIN(1,(W$4-$I42&gt;=1)*INDEX(Model!$D$48:$O$48,1,MAX(1,W$4-$I42))*$H42)*$O42-IF(W$4-$I42&gt;=GoLiveQ,1,0)*(in_Platform*3+in_OngoingAnnual/4)-IF(W$4&lt;=in_Spread,$K42/in_Spread,0)</f>
        <v>34830.212</v>
      </c>
      <c r="X42" s="140">
        <f>Model!L$47*MIN(1,(X$4-$I42&gt;=1)*INDEX(Model!$D$48:$O$48,1,MAX(1,X$4-$I42))*$H42)*$O42-IF(X$4-$I42&gt;=GoLiveQ,1,0)*(in_Platform*3+in_OngoingAnnual/4)-IF(X$4&lt;=in_Spread,$K42/in_Spread,0)</f>
        <v>40063.2332</v>
      </c>
      <c r="Y42" s="140">
        <f>Model!M$47*MIN(1,(Y$4-$I42&gt;=1)*INDEX(Model!$D$48:$O$48,1,MAX(1,Y$4-$I42))*$H42)*$O42-IF(Y$4-$I42&gt;=GoLiveQ,1,0)*(in_Platform*3+in_OngoingAnnual/4)-IF(Y$4&lt;=in_Spread,$K42/in_Spread,0)</f>
        <v>40063.2332</v>
      </c>
      <c r="Z42" s="140">
        <f>Model!N$47*MIN(1,(Z$4-$I42&gt;=1)*INDEX(Model!$D$48:$O$48,1,MAX(1,Z$4-$I42))*$H42)*$O42-IF(Z$4-$I42&gt;=GoLiveQ,1,0)*(in_Platform*3+in_OngoingAnnual/4)-IF(Z$4&lt;=in_Spread,$K42/in_Spread,0)</f>
        <v>40063.2332</v>
      </c>
      <c r="AA42" s="140">
        <f>Model!O$47*MIN(1,(AA$4-$I42&gt;=1)*INDEX(Model!$D$48:$O$48,1,MAX(1,AA$4-$I42))*$H42)*$O42-IF(AA$4-$I42&gt;=GoLiveQ,1,0)*(in_Platform*3+in_OngoingAnnual/4)-IF(AA$4&lt;=in_Spread,$K42/in_Spread,0)</f>
        <v>40063.2332</v>
      </c>
      <c r="AB42" s="192">
        <f>SUMPRODUCT(P42:AA42,Model!$D$50:$O$50)</f>
        <v>125648.537829689</v>
      </c>
      <c r="AC42" s="140">
        <f>SUM(P42:AA42)</f>
        <v>177597.1068</v>
      </c>
    </row>
    <row r="43">
      <c r="B43" s="28" t="inlineStr">
        <is>
          <t>Share of freed time that becomes real value at Low</t>
        </is>
      </c>
      <c r="C43" s="76" t="inlineStr">
        <is>
          <t>What moves it most</t>
        </is>
      </c>
      <c r="D43" s="184">
        <f>Scenarios!$D$20</f>
        <v>0.92</v>
      </c>
      <c r="E43" s="184">
        <f>Scenarios!$D$21</f>
        <v>0.8</v>
      </c>
      <c r="F43" s="185">
        <f>Scenarios!$D$22</f>
        <v>8</v>
      </c>
      <c r="G43" s="184">
        <f>Scenarios!$C$23</f>
        <v>0.5</v>
      </c>
      <c r="H43" s="137">
        <f>Scenarios!$D$24</f>
        <v>1</v>
      </c>
      <c r="I43" s="186">
        <f>Scenarios!$D$25</f>
        <v>0</v>
      </c>
      <c r="J43" s="187">
        <f>Scenarios!$D$26</f>
        <v>0.216</v>
      </c>
      <c r="K43" s="188">
        <f>Scenarios!$D$27</f>
        <v>130000</v>
      </c>
      <c r="L43" s="189">
        <f>in_MinsToday-(E43*in_ReviewRate*(F43+(1-D43)*in_CatchRate*in_FixMins)+(1-E43)*in_MinsToday)</f>
        <v>24.784</v>
      </c>
      <c r="M43" s="190">
        <f>IF(L43&gt;0,L43*G43,L43)/60*in_HourlyCost</f>
        <v>9.294</v>
      </c>
      <c r="N43" s="190">
        <f>in_ErrRateToday*in_ErrCostToday-(E43*(1-D43)*(1-in_ReviewRate*in_CatchRate)*in_ErrCostAI+(1-E43)*in_ErrRateToday*in_ErrCostToday)</f>
        <v>4.32</v>
      </c>
      <c r="O43" s="191">
        <f>M43+N43-J43</f>
        <v>13.398</v>
      </c>
      <c r="P43" s="140">
        <f>Model!D$47*MIN(1,(P$4-$I43&gt;=1)*INDEX(Model!$D$48:$O$48,1,MAX(1,P$4-$I43))*$H43)*$O43-IF(P$4-$I43&gt;=GoLiveQ,1,0)*(in_Platform*3+in_OngoingAnnual/4)-IF(P$4&lt;=in_Spread,$K43/in_Spread,0)</f>
        <v>-65000</v>
      </c>
      <c r="Q43" s="140">
        <f>Model!E$47*MIN(1,(Q$4-$I43&gt;=1)*INDEX(Model!$D$48:$O$48,1,MAX(1,Q$4-$I43))*$H43)*$O43-IF(Q$4-$I43&gt;=GoLiveQ,1,0)*(in_Platform*3+in_OngoingAnnual/4)-IF(Q$4&lt;=in_Spread,$K43/in_Spread,0)</f>
        <v>-78480.6</v>
      </c>
      <c r="R43" s="140">
        <f>Model!F$47*MIN(1,(R$4-$I43&gt;=1)*INDEX(Model!$D$48:$O$48,1,MAX(1,R$4-$I43))*$H43)*$O43-IF(R$4-$I43&gt;=GoLiveQ,1,0)*(in_Platform*3+in_OngoingAnnual/4)-IF(R$4&lt;=in_Spread,$K43/in_Spread,0)</f>
        <v>-1422.4</v>
      </c>
      <c r="S43" s="140">
        <f>Model!G$47*MIN(1,(S$4-$I43&gt;=1)*INDEX(Model!$D$48:$O$48,1,MAX(1,S$4-$I43))*$H43)*$O43-IF(S$4-$I43&gt;=GoLiveQ,1,0)*(in_Platform*3+in_OngoingAnnual/4)-IF(S$4&lt;=in_Spread,$K43/in_Spread,0)</f>
        <v>10635.8</v>
      </c>
      <c r="T43" s="140">
        <f>Model!H$47*MIN(1,(T$4-$I43&gt;=1)*INDEX(Model!$D$48:$O$48,1,MAX(1,T$4-$I43))*$H43)*$O43-IF(T$4-$I43&gt;=GoLiveQ,1,0)*(in_Platform*3+in_OngoingAnnual/4)-IF(T$4&lt;=in_Spread,$K43/in_Spread,0)</f>
        <v>20081.39</v>
      </c>
      <c r="U43" s="140">
        <f>Model!I$47*MIN(1,(U$4-$I43&gt;=1)*INDEX(Model!$D$48:$O$48,1,MAX(1,U$4-$I43))*$H43)*$O43-IF(U$4-$I43&gt;=GoLiveQ,1,0)*(in_Platform*3+in_OngoingAnnual/4)-IF(U$4&lt;=in_Spread,$K43/in_Spread,0)</f>
        <v>22292.06</v>
      </c>
      <c r="V43" s="140">
        <f>Model!J$47*MIN(1,(V$4-$I43&gt;=1)*INDEX(Model!$D$48:$O$48,1,MAX(1,V$4-$I43))*$H43)*$O43-IF(V$4-$I43&gt;=GoLiveQ,1,0)*(in_Platform*3+in_OngoingAnnual/4)-IF(V$4&lt;=in_Spread,$K43/in_Spread,0)</f>
        <v>22292.06</v>
      </c>
      <c r="W43" s="140">
        <f>Model!K$47*MIN(1,(W$4-$I43&gt;=1)*INDEX(Model!$D$48:$O$48,1,MAX(1,W$4-$I43))*$H43)*$O43-IF(W$4-$I43&gt;=GoLiveQ,1,0)*(in_Platform*3+in_OngoingAnnual/4)-IF(W$4&lt;=in_Spread,$K43/in_Spread,0)</f>
        <v>22292.06</v>
      </c>
      <c r="X43" s="140">
        <f>Model!L$47*MIN(1,(X$4-$I43&gt;=1)*INDEX(Model!$D$48:$O$48,1,MAX(1,X$4-$I43))*$H43)*$O43-IF(X$4-$I43&gt;=GoLiveQ,1,0)*(in_Platform*3+in_OngoingAnnual/4)-IF(X$4&lt;=in_Spread,$K43/in_Spread,0)</f>
        <v>26271.266</v>
      </c>
      <c r="Y43" s="140">
        <f>Model!M$47*MIN(1,(Y$4-$I43&gt;=1)*INDEX(Model!$D$48:$O$48,1,MAX(1,Y$4-$I43))*$H43)*$O43-IF(Y$4-$I43&gt;=GoLiveQ,1,0)*(in_Platform*3+in_OngoingAnnual/4)-IF(Y$4&lt;=in_Spread,$K43/in_Spread,0)</f>
        <v>26271.266</v>
      </c>
      <c r="Z43" s="140">
        <f>Model!N$47*MIN(1,(Z$4-$I43&gt;=1)*INDEX(Model!$D$48:$O$48,1,MAX(1,Z$4-$I43))*$H43)*$O43-IF(Z$4-$I43&gt;=GoLiveQ,1,0)*(in_Platform*3+in_OngoingAnnual/4)-IF(Z$4&lt;=in_Spread,$K43/in_Spread,0)</f>
        <v>26271.266</v>
      </c>
      <c r="AA43" s="140">
        <f>Model!O$47*MIN(1,(AA$4-$I43&gt;=1)*INDEX(Model!$D$48:$O$48,1,MAX(1,AA$4-$I43))*$H43)*$O43-IF(AA$4-$I43&gt;=GoLiveQ,1,0)*(in_Platform*3+in_OngoingAnnual/4)-IF(AA$4&lt;=in_Spread,$K43/in_Spread,0)</f>
        <v>26271.266</v>
      </c>
      <c r="AB43" s="192">
        <f>SUMPRODUCT(P43:AA43,Model!$D$50:$O$50)</f>
        <v>26339.6840953598</v>
      </c>
      <c r="AC43" s="140">
        <f>SUM(P43:AA43)</f>
        <v>57775.4340000001</v>
      </c>
    </row>
    <row r="44">
      <c r="B44" s="28" t="inlineStr">
        <is>
          <t>Share of freed time that becomes real value at High</t>
        </is>
      </c>
      <c r="C44" s="76" t="inlineStr">
        <is>
          <t>What moves it most</t>
        </is>
      </c>
      <c r="D44" s="184">
        <f>Scenarios!$D$20</f>
        <v>0.92</v>
      </c>
      <c r="E44" s="184">
        <f>Scenarios!$D$21</f>
        <v>0.8</v>
      </c>
      <c r="F44" s="185">
        <f>Scenarios!$D$22</f>
        <v>8</v>
      </c>
      <c r="G44" s="184">
        <f>Scenarios!$E$23</f>
        <v>0.8</v>
      </c>
      <c r="H44" s="137">
        <f>Scenarios!$D$24</f>
        <v>1</v>
      </c>
      <c r="I44" s="186">
        <f>Scenarios!$D$25</f>
        <v>0</v>
      </c>
      <c r="J44" s="187">
        <f>Scenarios!$D$26</f>
        <v>0.216</v>
      </c>
      <c r="K44" s="188">
        <f>Scenarios!$D$27</f>
        <v>130000</v>
      </c>
      <c r="L44" s="189">
        <f>in_MinsToday-(E44*in_ReviewRate*(F44+(1-D44)*in_CatchRate*in_FixMins)+(1-E44)*in_MinsToday)</f>
        <v>24.784</v>
      </c>
      <c r="M44" s="190">
        <f>IF(L44&gt;0,L44*G44,L44)/60*in_HourlyCost</f>
        <v>14.8704</v>
      </c>
      <c r="N44" s="190">
        <f>in_ErrRateToday*in_ErrCostToday-(E44*(1-D44)*(1-in_ReviewRate*in_CatchRate)*in_ErrCostAI+(1-E44)*in_ErrRateToday*in_ErrCostToday)</f>
        <v>4.32</v>
      </c>
      <c r="O44" s="191">
        <f>M44+N44-J44</f>
        <v>18.9744</v>
      </c>
      <c r="P44" s="140">
        <f>Model!D$47*MIN(1,(P$4-$I44&gt;=1)*INDEX(Model!$D$48:$O$48,1,MAX(1,P$4-$I44))*$H44)*$O44-IF(P$4-$I44&gt;=GoLiveQ,1,0)*(in_Platform*3+in_OngoingAnnual/4)-IF(P$4&lt;=in_Spread,$K44/in_Spread,0)</f>
        <v>-65000</v>
      </c>
      <c r="Q44" s="140">
        <f>Model!E$47*MIN(1,(Q$4-$I44&gt;=1)*INDEX(Model!$D$48:$O$48,1,MAX(1,Q$4-$I44))*$H44)*$O44-IF(Q$4-$I44&gt;=GoLiveQ,1,0)*(in_Platform*3+in_OngoingAnnual/4)-IF(Q$4&lt;=in_Spread,$K44/in_Spread,0)</f>
        <v>-76807.68</v>
      </c>
      <c r="R44" s="140">
        <f>Model!F$47*MIN(1,(R$4-$I44&gt;=1)*INDEX(Model!$D$48:$O$48,1,MAX(1,R$4-$I44))*$H44)*$O44-IF(R$4-$I44&gt;=GoLiveQ,1,0)*(in_Platform*3+in_OngoingAnnual/4)-IF(R$4&lt;=in_Spread,$K44/in_Spread,0)</f>
        <v>5269.28</v>
      </c>
      <c r="S44" s="140">
        <f>Model!G$47*MIN(1,(S$4-$I44&gt;=1)*INDEX(Model!$D$48:$O$48,1,MAX(1,S$4-$I44))*$H44)*$O44-IF(S$4-$I44&gt;=GoLiveQ,1,0)*(in_Platform*3+in_OngoingAnnual/4)-IF(S$4&lt;=in_Spread,$K44/in_Spread,0)</f>
        <v>22346.24</v>
      </c>
      <c r="T44" s="140">
        <f>Model!H$47*MIN(1,(T$4-$I44&gt;=1)*INDEX(Model!$D$48:$O$48,1,MAX(1,T$4-$I44))*$H44)*$O44-IF(T$4-$I44&gt;=GoLiveQ,1,0)*(in_Platform*3+in_OngoingAnnual/4)-IF(T$4&lt;=in_Spread,$K44/in_Spread,0)</f>
        <v>35723.192</v>
      </c>
      <c r="U44" s="140">
        <f>Model!I$47*MIN(1,(U$4-$I44&gt;=1)*INDEX(Model!$D$48:$O$48,1,MAX(1,U$4-$I44))*$H44)*$O44-IF(U$4-$I44&gt;=GoLiveQ,1,0)*(in_Platform*3+in_OngoingAnnual/4)-IF(U$4&lt;=in_Spread,$K44/in_Spread,0)</f>
        <v>38853.968</v>
      </c>
      <c r="V44" s="140">
        <f>Model!J$47*MIN(1,(V$4-$I44&gt;=1)*INDEX(Model!$D$48:$O$48,1,MAX(1,V$4-$I44))*$H44)*$O44-IF(V$4-$I44&gt;=GoLiveQ,1,0)*(in_Platform*3+in_OngoingAnnual/4)-IF(V$4&lt;=in_Spread,$K44/in_Spread,0)</f>
        <v>38853.968</v>
      </c>
      <c r="W44" s="140">
        <f>Model!K$47*MIN(1,(W$4-$I44&gt;=1)*INDEX(Model!$D$48:$O$48,1,MAX(1,W$4-$I44))*$H44)*$O44-IF(W$4-$I44&gt;=GoLiveQ,1,0)*(in_Platform*3+in_OngoingAnnual/4)-IF(W$4&lt;=in_Spread,$K44/in_Spread,0)</f>
        <v>38853.968</v>
      </c>
      <c r="X44" s="140">
        <f>Model!L$47*MIN(1,(X$4-$I44&gt;=1)*INDEX(Model!$D$48:$O$48,1,MAX(1,X$4-$I44))*$H44)*$O44-IF(X$4-$I44&gt;=GoLiveQ,1,0)*(in_Platform*3+in_OngoingAnnual/4)-IF(X$4&lt;=in_Spread,$K44/in_Spread,0)</f>
        <v>44489.3648</v>
      </c>
      <c r="Y44" s="140">
        <f>Model!M$47*MIN(1,(Y$4-$I44&gt;=1)*INDEX(Model!$D$48:$O$48,1,MAX(1,Y$4-$I44))*$H44)*$O44-IF(Y$4-$I44&gt;=GoLiveQ,1,0)*(in_Platform*3+in_OngoingAnnual/4)-IF(Y$4&lt;=in_Spread,$K44/in_Spread,0)</f>
        <v>44489.3648</v>
      </c>
      <c r="Z44" s="140">
        <f>Model!N$47*MIN(1,(Z$4-$I44&gt;=1)*INDEX(Model!$D$48:$O$48,1,MAX(1,Z$4-$I44))*$H44)*$O44-IF(Z$4-$I44&gt;=GoLiveQ,1,0)*(in_Platform*3+in_OngoingAnnual/4)-IF(Z$4&lt;=in_Spread,$K44/in_Spread,0)</f>
        <v>44489.3648</v>
      </c>
      <c r="AA44" s="140">
        <f>Model!O$47*MIN(1,(AA$4-$I44&gt;=1)*INDEX(Model!$D$48:$O$48,1,MAX(1,AA$4-$I44))*$H44)*$O44-IF(AA$4-$I44&gt;=GoLiveQ,1,0)*(in_Platform*3+in_OngoingAnnual/4)-IF(AA$4&lt;=in_Spread,$K44/in_Spread,0)</f>
        <v>44489.3648</v>
      </c>
      <c r="AB44" s="192">
        <f>SUMPRODUCT(P44:AA44,Model!$D$50:$O$50)</f>
        <v>157518.832277119</v>
      </c>
      <c r="AC44" s="140">
        <f>SUM(P44:AA44)</f>
        <v>216050.3952</v>
      </c>
    </row>
    <row r="45">
      <c r="B45" s="28" t="inlineStr">
        <is>
          <t>Adoption achieved vs plan at Low</t>
        </is>
      </c>
      <c r="C45" s="76" t="inlineStr">
        <is>
          <t>What moves it most</t>
        </is>
      </c>
      <c r="D45" s="184">
        <f>Scenarios!$D$20</f>
        <v>0.92</v>
      </c>
      <c r="E45" s="184">
        <f>Scenarios!$D$21</f>
        <v>0.8</v>
      </c>
      <c r="F45" s="185">
        <f>Scenarios!$D$22</f>
        <v>8</v>
      </c>
      <c r="G45" s="184">
        <f>Scenarios!$D$23</f>
        <v>0.7</v>
      </c>
      <c r="H45" s="137">
        <f>Scenarios!$C$24</f>
        <v>0.75</v>
      </c>
      <c r="I45" s="186">
        <f>Scenarios!$D$25</f>
        <v>0</v>
      </c>
      <c r="J45" s="187">
        <f>Scenarios!$D$26</f>
        <v>0.216</v>
      </c>
      <c r="K45" s="188">
        <f>Scenarios!$D$27</f>
        <v>130000</v>
      </c>
      <c r="L45" s="189">
        <f>in_MinsToday-(E45*in_ReviewRate*(F45+(1-D45)*in_CatchRate*in_FixMins)+(1-E45)*in_MinsToday)</f>
        <v>24.784</v>
      </c>
      <c r="M45" s="190">
        <f>IF(L45&gt;0,L45*G45,L45)/60*in_HourlyCost</f>
        <v>13.0116</v>
      </c>
      <c r="N45" s="190">
        <f>in_ErrRateToday*in_ErrCostToday-(E45*(1-D45)*(1-in_ReviewRate*in_CatchRate)*in_ErrCostAI+(1-E45)*in_ErrRateToday*in_ErrCostToday)</f>
        <v>4.32</v>
      </c>
      <c r="O45" s="191">
        <f>M45+N45-J45</f>
        <v>17.1156</v>
      </c>
      <c r="P45" s="140">
        <f>Model!D$47*MIN(1,(P$4-$I45&gt;=1)*INDEX(Model!$D$48:$O$48,1,MAX(1,P$4-$I45))*$H45)*$O45-IF(P$4-$I45&gt;=GoLiveQ,1,0)*(in_Platform*3+in_OngoingAnnual/4)-IF(P$4&lt;=in_Spread,$K45/in_Spread,0)</f>
        <v>-65000</v>
      </c>
      <c r="Q45" s="140">
        <f>Model!E$47*MIN(1,(Q$4-$I45&gt;=1)*INDEX(Model!$D$48:$O$48,1,MAX(1,Q$4-$I45))*$H45)*$O45-IF(Q$4-$I45&gt;=GoLiveQ,1,0)*(in_Platform*3+in_OngoingAnnual/4)-IF(Q$4&lt;=in_Spread,$K45/in_Spread,0)</f>
        <v>-78648.99</v>
      </c>
      <c r="R45" s="140">
        <f>Model!F$47*MIN(1,(R$4-$I45&gt;=1)*INDEX(Model!$D$48:$O$48,1,MAX(1,R$4-$I45))*$H45)*$O45-IF(R$4-$I45&gt;=GoLiveQ,1,0)*(in_Platform*3+in_OngoingAnnual/4)-IF(R$4&lt;=in_Spread,$K45/in_Spread,0)</f>
        <v>-2095.96</v>
      </c>
      <c r="S45" s="140">
        <f>Model!G$47*MIN(1,(S$4-$I45&gt;=1)*INDEX(Model!$D$48:$O$48,1,MAX(1,S$4-$I45))*$H45)*$O45-IF(S$4-$I45&gt;=GoLiveQ,1,0)*(in_Platform*3+in_OngoingAnnual/4)-IF(S$4&lt;=in_Spread,$K45/in_Spread,0)</f>
        <v>9457.07</v>
      </c>
      <c r="T45" s="140">
        <f>Model!H$47*MIN(1,(T$4-$I45&gt;=1)*INDEX(Model!$D$48:$O$48,1,MAX(1,T$4-$I45))*$H45)*$O45-IF(T$4-$I45&gt;=GoLiveQ,1,0)*(in_Platform*3+in_OngoingAnnual/4)-IF(T$4&lt;=in_Spread,$K45/in_Spread,0)</f>
        <v>18506.9435</v>
      </c>
      <c r="U45" s="140">
        <f>Model!I$47*MIN(1,(U$4-$I45&gt;=1)*INDEX(Model!$D$48:$O$48,1,MAX(1,U$4-$I45))*$H45)*$O45-IF(U$4-$I45&gt;=GoLiveQ,1,0)*(in_Platform*3+in_OngoingAnnual/4)-IF(U$4&lt;=in_Spread,$K45/in_Spread,0)</f>
        <v>20624.999</v>
      </c>
      <c r="V45" s="140">
        <f>Model!J$47*MIN(1,(V$4-$I45&gt;=1)*INDEX(Model!$D$48:$O$48,1,MAX(1,V$4-$I45))*$H45)*$O45-IF(V$4-$I45&gt;=GoLiveQ,1,0)*(in_Platform*3+in_OngoingAnnual/4)-IF(V$4&lt;=in_Spread,$K45/in_Spread,0)</f>
        <v>20624.999</v>
      </c>
      <c r="W45" s="140">
        <f>Model!K$47*MIN(1,(W$4-$I45&gt;=1)*INDEX(Model!$D$48:$O$48,1,MAX(1,W$4-$I45))*$H45)*$O45-IF(W$4-$I45&gt;=GoLiveQ,1,0)*(in_Platform*3+in_OngoingAnnual/4)-IF(W$4&lt;=in_Spread,$K45/in_Spread,0)</f>
        <v>20624.999</v>
      </c>
      <c r="X45" s="140">
        <f>Model!L$47*MIN(1,(X$4-$I45&gt;=1)*INDEX(Model!$D$48:$O$48,1,MAX(1,X$4-$I45))*$H45)*$O45-IF(X$4-$I45&gt;=GoLiveQ,1,0)*(in_Platform*3+in_OngoingAnnual/4)-IF(X$4&lt;=in_Spread,$K45/in_Spread,0)</f>
        <v>24437.4989</v>
      </c>
      <c r="Y45" s="140">
        <f>Model!M$47*MIN(1,(Y$4-$I45&gt;=1)*INDEX(Model!$D$48:$O$48,1,MAX(1,Y$4-$I45))*$H45)*$O45-IF(Y$4-$I45&gt;=GoLiveQ,1,0)*(in_Platform*3+in_OngoingAnnual/4)-IF(Y$4&lt;=in_Spread,$K45/in_Spread,0)</f>
        <v>24437.4989</v>
      </c>
      <c r="Z45" s="140">
        <f>Model!N$47*MIN(1,(Z$4-$I45&gt;=1)*INDEX(Model!$D$48:$O$48,1,MAX(1,Z$4-$I45))*$H45)*$O45-IF(Z$4-$I45&gt;=GoLiveQ,1,0)*(in_Platform*3+in_OngoingAnnual/4)-IF(Z$4&lt;=in_Spread,$K45/in_Spread,0)</f>
        <v>24437.4989</v>
      </c>
      <c r="AA45" s="140">
        <f>Model!O$47*MIN(1,(AA$4-$I45&gt;=1)*INDEX(Model!$D$48:$O$48,1,MAX(1,AA$4-$I45))*$H45)*$O45-IF(AA$4-$I45&gt;=GoLiveQ,1,0)*(in_Platform*3+in_OngoingAnnual/4)-IF(AA$4&lt;=in_Spread,$K45/in_Spread,0)</f>
        <v>24437.4989</v>
      </c>
      <c r="AB45" s="192">
        <f>SUMPRODUCT(P45:AA45,Model!$D$50:$O$50)</f>
        <v>13135.6714932471</v>
      </c>
      <c r="AC45" s="140">
        <f>SUM(P45:AA45)</f>
        <v>41844.0561000001</v>
      </c>
    </row>
    <row r="46">
      <c r="B46" s="28" t="inlineStr">
        <is>
          <t>Adoption achieved vs plan at High</t>
        </is>
      </c>
      <c r="C46" s="76" t="inlineStr">
        <is>
          <t>What moves it most</t>
        </is>
      </c>
      <c r="D46" s="184">
        <f>Scenarios!$D$20</f>
        <v>0.92</v>
      </c>
      <c r="E46" s="184">
        <f>Scenarios!$D$21</f>
        <v>0.8</v>
      </c>
      <c r="F46" s="185">
        <f>Scenarios!$D$22</f>
        <v>8</v>
      </c>
      <c r="G46" s="184">
        <f>Scenarios!$D$23</f>
        <v>0.7</v>
      </c>
      <c r="H46" s="137">
        <f>Scenarios!$E$24</f>
        <v>1.05</v>
      </c>
      <c r="I46" s="186">
        <f>Scenarios!$D$25</f>
        <v>0</v>
      </c>
      <c r="J46" s="187">
        <f>Scenarios!$D$26</f>
        <v>0.216</v>
      </c>
      <c r="K46" s="188">
        <f>Scenarios!$D$27</f>
        <v>130000</v>
      </c>
      <c r="L46" s="189">
        <f>in_MinsToday-(E46*in_ReviewRate*(F46+(1-D46)*in_CatchRate*in_FixMins)+(1-E46)*in_MinsToday)</f>
        <v>24.784</v>
      </c>
      <c r="M46" s="190">
        <f>IF(L46&gt;0,L46*G46,L46)/60*in_HourlyCost</f>
        <v>13.0116</v>
      </c>
      <c r="N46" s="190">
        <f>in_ErrRateToday*in_ErrCostToday-(E46*(1-D46)*(1-in_ReviewRate*in_CatchRate)*in_ErrCostAI+(1-E46)*in_ErrRateToday*in_ErrCostToday)</f>
        <v>4.32</v>
      </c>
      <c r="O46" s="191">
        <f>M46+N46-J46</f>
        <v>17.1156</v>
      </c>
      <c r="P46" s="140">
        <f>Model!D$47*MIN(1,(P$4-$I46&gt;=1)*INDEX(Model!$D$48:$O$48,1,MAX(1,P$4-$I46))*$H46)*$O46-IF(P$4-$I46&gt;=GoLiveQ,1,0)*(in_Platform*3+in_OngoingAnnual/4)-IF(P$4&lt;=in_Spread,$K46/in_Spread,0)</f>
        <v>-65000</v>
      </c>
      <c r="Q46" s="140">
        <f>Model!E$47*MIN(1,(Q$4-$I46&gt;=1)*INDEX(Model!$D$48:$O$48,1,MAX(1,Q$4-$I46))*$H46)*$O46-IF(Q$4-$I46&gt;=GoLiveQ,1,0)*(in_Platform*3+in_OngoingAnnual/4)-IF(Q$4&lt;=in_Spread,$K46/in_Spread,0)</f>
        <v>-77108.586</v>
      </c>
      <c r="R46" s="140">
        <f>Model!F$47*MIN(1,(R$4-$I46&gt;=1)*INDEX(Model!$D$48:$O$48,1,MAX(1,R$4-$I46))*$H46)*$O46-IF(R$4-$I46&gt;=GoLiveQ,1,0)*(in_Platform*3+in_OngoingAnnual/4)-IF(R$4&lt;=in_Spread,$K46/in_Spread,0)</f>
        <v>4065.65600000001</v>
      </c>
      <c r="S46" s="140">
        <f>Model!G$47*MIN(1,(S$4-$I46&gt;=1)*INDEX(Model!$D$48:$O$48,1,MAX(1,S$4-$I46))*$H46)*$O46-IF(S$4-$I46&gt;=GoLiveQ,1,0)*(in_Platform*3+in_OngoingAnnual/4)-IF(S$4&lt;=in_Spread,$K46/in_Spread,0)</f>
        <v>20239.898</v>
      </c>
      <c r="T46" s="140">
        <f>Model!H$47*MIN(1,(T$4-$I46&gt;=1)*INDEX(Model!$D$48:$O$48,1,MAX(1,T$4-$I46))*$H46)*$O46-IF(T$4-$I46&gt;=GoLiveQ,1,0)*(in_Platform*3+in_OngoingAnnual/4)-IF(T$4&lt;=in_Spread,$K46/in_Spread,0)</f>
        <v>32909.7209</v>
      </c>
      <c r="U46" s="140">
        <f>Model!I$47*MIN(1,(U$4-$I46&gt;=1)*INDEX(Model!$D$48:$O$48,1,MAX(1,U$4-$I46))*$H46)*$O46-IF(U$4-$I46&gt;=GoLiveQ,1,0)*(in_Platform*3+in_OngoingAnnual/4)-IF(U$4&lt;=in_Spread,$K46/in_Spread,0)</f>
        <v>35874.9986</v>
      </c>
      <c r="V46" s="140">
        <f>Model!J$47*MIN(1,(V$4-$I46&gt;=1)*INDEX(Model!$D$48:$O$48,1,MAX(1,V$4-$I46))*$H46)*$O46-IF(V$4-$I46&gt;=GoLiveQ,1,0)*(in_Platform*3+in_OngoingAnnual/4)-IF(V$4&lt;=in_Spread,$K46/in_Spread,0)</f>
        <v>35874.9986</v>
      </c>
      <c r="W46" s="140">
        <f>Model!K$47*MIN(1,(W$4-$I46&gt;=1)*INDEX(Model!$D$48:$O$48,1,MAX(1,W$4-$I46))*$H46)*$O46-IF(W$4-$I46&gt;=GoLiveQ,1,0)*(in_Platform*3+in_OngoingAnnual/4)-IF(W$4&lt;=in_Spread,$K46/in_Spread,0)</f>
        <v>35874.9986</v>
      </c>
      <c r="X46" s="140">
        <f>Model!L$47*MIN(1,(X$4-$I46&gt;=1)*INDEX(Model!$D$48:$O$48,1,MAX(1,X$4-$I46))*$H46)*$O46-IF(X$4-$I46&gt;=GoLiveQ,1,0)*(in_Platform*3+in_OngoingAnnual/4)-IF(X$4&lt;=in_Spread,$K46/in_Spread,0)</f>
        <v>41212.49846</v>
      </c>
      <c r="Y46" s="140">
        <f>Model!M$47*MIN(1,(Y$4-$I46&gt;=1)*INDEX(Model!$D$48:$O$48,1,MAX(1,Y$4-$I46))*$H46)*$O46-IF(Y$4-$I46&gt;=GoLiveQ,1,0)*(in_Platform*3+in_OngoingAnnual/4)-IF(Y$4&lt;=in_Spread,$K46/in_Spread,0)</f>
        <v>41212.49846</v>
      </c>
      <c r="Z46" s="140">
        <f>Model!N$47*MIN(1,(Z$4-$I46&gt;=1)*INDEX(Model!$D$48:$O$48,1,MAX(1,Z$4-$I46))*$H46)*$O46-IF(Z$4-$I46&gt;=GoLiveQ,1,0)*(in_Platform*3+in_OngoingAnnual/4)-IF(Z$4&lt;=in_Spread,$K46/in_Spread,0)</f>
        <v>41212.49846</v>
      </c>
      <c r="AA46" s="140">
        <f>Model!O$47*MIN(1,(AA$4-$I46&gt;=1)*INDEX(Model!$D$48:$O$48,1,MAX(1,AA$4-$I46))*$H46)*$O46-IF(AA$4-$I46&gt;=GoLiveQ,1,0)*(in_Platform*3+in_OngoingAnnual/4)-IF(AA$4&lt;=in_Spread,$K46/in_Spread,0)</f>
        <v>41212.49846</v>
      </c>
      <c r="AB46" s="192">
        <f>SUMPRODUCT(P46:AA46,Model!$D$50:$O$50)</f>
        <v>133923.805161189</v>
      </c>
      <c r="AC46" s="140">
        <f>SUM(P46:AA46)</f>
        <v>187581.67854</v>
      </c>
    </row>
    <row r="47">
      <c r="B47" s="28" t="inlineStr">
        <is>
          <t>Go-live delay (quarters) at Low</t>
        </is>
      </c>
      <c r="C47" s="76" t="inlineStr">
        <is>
          <t>What moves it most</t>
        </is>
      </c>
      <c r="D47" s="184">
        <f>Scenarios!$D$20</f>
        <v>0.92</v>
      </c>
      <c r="E47" s="184">
        <f>Scenarios!$D$21</f>
        <v>0.8</v>
      </c>
      <c r="F47" s="185">
        <f>Scenarios!$D$22</f>
        <v>8</v>
      </c>
      <c r="G47" s="184">
        <f>Scenarios!$D$23</f>
        <v>0.7</v>
      </c>
      <c r="H47" s="137">
        <f>Scenarios!$D$24</f>
        <v>1</v>
      </c>
      <c r="I47" s="186">
        <f>Scenarios!$C$25</f>
        <v>1</v>
      </c>
      <c r="J47" s="187">
        <f>Scenarios!$D$26</f>
        <v>0.216</v>
      </c>
      <c r="K47" s="188">
        <f>Scenarios!$D$27</f>
        <v>130000</v>
      </c>
      <c r="L47" s="189">
        <f>in_MinsToday-(E47*in_ReviewRate*(F47+(1-D47)*in_CatchRate*in_FixMins)+(1-E47)*in_MinsToday)</f>
        <v>24.784</v>
      </c>
      <c r="M47" s="190">
        <f>IF(L47&gt;0,L47*G47,L47)/60*in_HourlyCost</f>
        <v>13.0116</v>
      </c>
      <c r="N47" s="190">
        <f>in_ErrRateToday*in_ErrCostToday-(E47*(1-D47)*(1-in_ReviewRate*in_CatchRate)*in_ErrCostAI+(1-E47)*in_ErrRateToday*in_ErrCostToday)</f>
        <v>4.32</v>
      </c>
      <c r="O47" s="191">
        <f>M47+N47-J47</f>
        <v>17.1156</v>
      </c>
      <c r="P47" s="140">
        <f>Model!D$47*MIN(1,(P$4-$I47&gt;=1)*INDEX(Model!$D$48:$O$48,1,MAX(1,P$4-$I47))*$H47)*$O47-IF(P$4-$I47&gt;=GoLiveQ,1,0)*(in_Platform*3+in_OngoingAnnual/4)-IF(P$4&lt;=in_Spread,$K47/in_Spread,0)</f>
        <v>-65000</v>
      </c>
      <c r="Q47" s="140">
        <f>Model!E$47*MIN(1,(Q$4-$I47&gt;=1)*INDEX(Model!$D$48:$O$48,1,MAX(1,Q$4-$I47))*$H47)*$O47-IF(Q$4-$I47&gt;=GoLiveQ,1,0)*(in_Platform*3+in_OngoingAnnual/4)-IF(Q$4&lt;=in_Spread,$K47/in_Spread,0)</f>
        <v>-65000</v>
      </c>
      <c r="R47" s="140">
        <f>Model!F$47*MIN(1,(R$4-$I47&gt;=1)*INDEX(Model!$D$48:$O$48,1,MAX(1,R$4-$I47))*$H47)*$O47-IF(R$4-$I47&gt;=GoLiveQ,1,0)*(in_Platform*3+in_OngoingAnnual/4)-IF(R$4&lt;=in_Spread,$K47/in_Spread,0)</f>
        <v>-12365.32</v>
      </c>
      <c r="S47" s="140">
        <f>Model!G$47*MIN(1,(S$4-$I47&gt;=1)*INDEX(Model!$D$48:$O$48,1,MAX(1,S$4-$I47))*$H47)*$O47-IF(S$4-$I47&gt;=GoLiveQ,1,0)*(in_Platform*3+in_OngoingAnnual/4)-IF(S$4&lt;=in_Spread,$K47/in_Spread,0)</f>
        <v>3038.72</v>
      </c>
      <c r="T47" s="140">
        <f>Model!H$47*MIN(1,(T$4-$I47&gt;=1)*INDEX(Model!$D$48:$O$48,1,MAX(1,T$4-$I47))*$H47)*$O47-IF(T$4-$I47&gt;=GoLiveQ,1,0)*(in_Platform*3+in_OngoingAnnual/4)-IF(T$4&lt;=in_Spread,$K47/in_Spread,0)</f>
        <v>22037.036</v>
      </c>
      <c r="U47" s="140">
        <f>Model!I$47*MIN(1,(U$4-$I47&gt;=1)*INDEX(Model!$D$48:$O$48,1,MAX(1,U$4-$I47))*$H47)*$O47-IF(U$4-$I47&gt;=GoLiveQ,1,0)*(in_Platform*3+in_OngoingAnnual/4)-IF(U$4&lt;=in_Spread,$K47/in_Spread,0)</f>
        <v>30509.258</v>
      </c>
      <c r="V47" s="140">
        <f>Model!J$47*MIN(1,(V$4-$I47&gt;=1)*INDEX(Model!$D$48:$O$48,1,MAX(1,V$4-$I47))*$H47)*$O47-IF(V$4-$I47&gt;=GoLiveQ,1,0)*(in_Platform*3+in_OngoingAnnual/4)-IF(V$4&lt;=in_Spread,$K47/in_Spread,0)</f>
        <v>33333.332</v>
      </c>
      <c r="W47" s="140">
        <f>Model!K$47*MIN(1,(W$4-$I47&gt;=1)*INDEX(Model!$D$48:$O$48,1,MAX(1,W$4-$I47))*$H47)*$O47-IF(W$4-$I47&gt;=GoLiveQ,1,0)*(in_Platform*3+in_OngoingAnnual/4)-IF(W$4&lt;=in_Spread,$K47/in_Spread,0)</f>
        <v>33333.332</v>
      </c>
      <c r="X47" s="140">
        <f>Model!L$47*MIN(1,(X$4-$I47&gt;=1)*INDEX(Model!$D$48:$O$48,1,MAX(1,X$4-$I47))*$H47)*$O47-IF(X$4-$I47&gt;=GoLiveQ,1,0)*(in_Platform*3+in_OngoingAnnual/4)-IF(X$4&lt;=in_Spread,$K47/in_Spread,0)</f>
        <v>38416.6652</v>
      </c>
      <c r="Y47" s="140">
        <f>Model!M$47*MIN(1,(Y$4-$I47&gt;=1)*INDEX(Model!$D$48:$O$48,1,MAX(1,Y$4-$I47))*$H47)*$O47-IF(Y$4-$I47&gt;=GoLiveQ,1,0)*(in_Platform*3+in_OngoingAnnual/4)-IF(Y$4&lt;=in_Spread,$K47/in_Spread,0)</f>
        <v>38416.6652</v>
      </c>
      <c r="Z47" s="140">
        <f>Model!N$47*MIN(1,(Z$4-$I47&gt;=1)*INDEX(Model!$D$48:$O$48,1,MAX(1,Z$4-$I47))*$H47)*$O47-IF(Z$4-$I47&gt;=GoLiveQ,1,0)*(in_Platform*3+in_OngoingAnnual/4)-IF(Z$4&lt;=in_Spread,$K47/in_Spread,0)</f>
        <v>38416.6652</v>
      </c>
      <c r="AA47" s="140">
        <f>Model!O$47*MIN(1,(AA$4-$I47&gt;=1)*INDEX(Model!$D$48:$O$48,1,MAX(1,AA$4-$I47))*$H47)*$O47-IF(AA$4-$I47&gt;=GoLiveQ,1,0)*(in_Platform*3+in_OngoingAnnual/4)-IF(AA$4&lt;=in_Spread,$K47/in_Spread,0)</f>
        <v>38416.6652</v>
      </c>
      <c r="AB47" s="192">
        <f>SUMPRODUCT(P47:AA47,Model!$D$50:$O$50)</f>
        <v>87268.7623375421</v>
      </c>
      <c r="AC47" s="140">
        <f>SUM(P47:AA47)</f>
        <v>133553.0188</v>
      </c>
    </row>
    <row r="48">
      <c r="B48" s="28" t="inlineStr">
        <is>
          <t>Go-live delay (quarters) at High</t>
        </is>
      </c>
      <c r="C48" s="76" t="inlineStr">
        <is>
          <t>What moves it most</t>
        </is>
      </c>
      <c r="D48" s="184">
        <f>Scenarios!$D$20</f>
        <v>0.92</v>
      </c>
      <c r="E48" s="184">
        <f>Scenarios!$D$21</f>
        <v>0.8</v>
      </c>
      <c r="F48" s="185">
        <f>Scenarios!$D$22</f>
        <v>8</v>
      </c>
      <c r="G48" s="184">
        <f>Scenarios!$D$23</f>
        <v>0.7</v>
      </c>
      <c r="H48" s="137">
        <f>Scenarios!$D$24</f>
        <v>1</v>
      </c>
      <c r="I48" s="186">
        <f>Scenarios!$E$25</f>
        <v>0</v>
      </c>
      <c r="J48" s="187">
        <f>Scenarios!$D$26</f>
        <v>0.216</v>
      </c>
      <c r="K48" s="188">
        <f>Scenarios!$D$27</f>
        <v>130000</v>
      </c>
      <c r="L48" s="189">
        <f>in_MinsToday-(E48*in_ReviewRate*(F48+(1-D48)*in_CatchRate*in_FixMins)+(1-E48)*in_MinsToday)</f>
        <v>24.784</v>
      </c>
      <c r="M48" s="190">
        <f>IF(L48&gt;0,L48*G48,L48)/60*in_HourlyCost</f>
        <v>13.0116</v>
      </c>
      <c r="N48" s="190">
        <f>in_ErrRateToday*in_ErrCostToday-(E48*(1-D48)*(1-in_ReviewRate*in_CatchRate)*in_ErrCostAI+(1-E48)*in_ErrRateToday*in_ErrCostToday)</f>
        <v>4.32</v>
      </c>
      <c r="O48" s="191">
        <f>M48+N48-J48</f>
        <v>17.1156</v>
      </c>
      <c r="P48" s="140">
        <f>Model!D$47*MIN(1,(P$4-$I48&gt;=1)*INDEX(Model!$D$48:$O$48,1,MAX(1,P$4-$I48))*$H48)*$O48-IF(P$4-$I48&gt;=GoLiveQ,1,0)*(in_Platform*3+in_OngoingAnnual/4)-IF(P$4&lt;=in_Spread,$K48/in_Spread,0)</f>
        <v>-65000</v>
      </c>
      <c r="Q48" s="140">
        <f>Model!E$47*MIN(1,(Q$4-$I48&gt;=1)*INDEX(Model!$D$48:$O$48,1,MAX(1,Q$4-$I48))*$H48)*$O48-IF(Q$4-$I48&gt;=GoLiveQ,1,0)*(in_Platform*3+in_OngoingAnnual/4)-IF(Q$4&lt;=in_Spread,$K48/in_Spread,0)</f>
        <v>-77365.32</v>
      </c>
      <c r="R48" s="140">
        <f>Model!F$47*MIN(1,(R$4-$I48&gt;=1)*INDEX(Model!$D$48:$O$48,1,MAX(1,R$4-$I48))*$H48)*$O48-IF(R$4-$I48&gt;=GoLiveQ,1,0)*(in_Platform*3+in_OngoingAnnual/4)-IF(R$4&lt;=in_Spread,$K48/in_Spread,0)</f>
        <v>3038.72</v>
      </c>
      <c r="S48" s="140">
        <f>Model!G$47*MIN(1,(S$4-$I48&gt;=1)*INDEX(Model!$D$48:$O$48,1,MAX(1,S$4-$I48))*$H48)*$O48-IF(S$4-$I48&gt;=GoLiveQ,1,0)*(in_Platform*3+in_OngoingAnnual/4)-IF(S$4&lt;=in_Spread,$K48/in_Spread,0)</f>
        <v>18442.76</v>
      </c>
      <c r="T48" s="140">
        <f>Model!H$47*MIN(1,(T$4-$I48&gt;=1)*INDEX(Model!$D$48:$O$48,1,MAX(1,T$4-$I48))*$H48)*$O48-IF(T$4-$I48&gt;=GoLiveQ,1,0)*(in_Platform*3+in_OngoingAnnual/4)-IF(T$4&lt;=in_Spread,$K48/in_Spread,0)</f>
        <v>30509.258</v>
      </c>
      <c r="U48" s="140">
        <f>Model!I$47*MIN(1,(U$4-$I48&gt;=1)*INDEX(Model!$D$48:$O$48,1,MAX(1,U$4-$I48))*$H48)*$O48-IF(U$4-$I48&gt;=GoLiveQ,1,0)*(in_Platform*3+in_OngoingAnnual/4)-IF(U$4&lt;=in_Spread,$K48/in_Spread,0)</f>
        <v>33333.332</v>
      </c>
      <c r="V48" s="140">
        <f>Model!J$47*MIN(1,(V$4-$I48&gt;=1)*INDEX(Model!$D$48:$O$48,1,MAX(1,V$4-$I48))*$H48)*$O48-IF(V$4-$I48&gt;=GoLiveQ,1,0)*(in_Platform*3+in_OngoingAnnual/4)-IF(V$4&lt;=in_Spread,$K48/in_Spread,0)</f>
        <v>33333.332</v>
      </c>
      <c r="W48" s="140">
        <f>Model!K$47*MIN(1,(W$4-$I48&gt;=1)*INDEX(Model!$D$48:$O$48,1,MAX(1,W$4-$I48))*$H48)*$O48-IF(W$4-$I48&gt;=GoLiveQ,1,0)*(in_Platform*3+in_OngoingAnnual/4)-IF(W$4&lt;=in_Spread,$K48/in_Spread,0)</f>
        <v>33333.332</v>
      </c>
      <c r="X48" s="140">
        <f>Model!L$47*MIN(1,(X$4-$I48&gt;=1)*INDEX(Model!$D$48:$O$48,1,MAX(1,X$4-$I48))*$H48)*$O48-IF(X$4-$I48&gt;=GoLiveQ,1,0)*(in_Platform*3+in_OngoingAnnual/4)-IF(X$4&lt;=in_Spread,$K48/in_Spread,0)</f>
        <v>38416.6652</v>
      </c>
      <c r="Y48" s="140">
        <f>Model!M$47*MIN(1,(Y$4-$I48&gt;=1)*INDEX(Model!$D$48:$O$48,1,MAX(1,Y$4-$I48))*$H48)*$O48-IF(Y$4-$I48&gt;=GoLiveQ,1,0)*(in_Platform*3+in_OngoingAnnual/4)-IF(Y$4&lt;=in_Spread,$K48/in_Spread,0)</f>
        <v>38416.6652</v>
      </c>
      <c r="Z48" s="140">
        <f>Model!N$47*MIN(1,(Z$4-$I48&gt;=1)*INDEX(Model!$D$48:$O$48,1,MAX(1,Z$4-$I48))*$H48)*$O48-IF(Z$4-$I48&gt;=GoLiveQ,1,0)*(in_Platform*3+in_OngoingAnnual/4)-IF(Z$4&lt;=in_Spread,$K48/in_Spread,0)</f>
        <v>38416.6652</v>
      </c>
      <c r="AA48" s="140">
        <f>Model!O$47*MIN(1,(AA$4-$I48&gt;=1)*INDEX(Model!$D$48:$O$48,1,MAX(1,AA$4-$I48))*$H48)*$O48-IF(AA$4-$I48&gt;=GoLiveQ,1,0)*(in_Platform*3+in_OngoingAnnual/4)-IF(AA$4&lt;=in_Spread,$K48/in_Spread,0)</f>
        <v>38416.6652</v>
      </c>
      <c r="AB48" s="192">
        <f>SUMPRODUCT(P48:AA48,Model!$D$50:$O$50)</f>
        <v>113792.449549866</v>
      </c>
      <c r="AC48" s="140">
        <f>SUM(P48:AA48)</f>
        <v>163292.0748</v>
      </c>
    </row>
    <row r="49">
      <c r="B49" s="28" t="inlineStr">
        <is>
          <t>Run cost per item at Low</t>
        </is>
      </c>
      <c r="C49" s="76" t="inlineStr">
        <is>
          <t>What moves it most</t>
        </is>
      </c>
      <c r="D49" s="184">
        <f>Scenarios!$D$20</f>
        <v>0.92</v>
      </c>
      <c r="E49" s="184">
        <f>Scenarios!$D$21</f>
        <v>0.8</v>
      </c>
      <c r="F49" s="185">
        <f>Scenarios!$D$22</f>
        <v>8</v>
      </c>
      <c r="G49" s="184">
        <f>Scenarios!$D$23</f>
        <v>0.7</v>
      </c>
      <c r="H49" s="137">
        <f>Scenarios!$D$24</f>
        <v>1</v>
      </c>
      <c r="I49" s="186">
        <f>Scenarios!$D$25</f>
        <v>0</v>
      </c>
      <c r="J49" s="187">
        <f>Scenarios!$C$26</f>
        <v>0.432</v>
      </c>
      <c r="K49" s="188">
        <f>Scenarios!$D$27</f>
        <v>130000</v>
      </c>
      <c r="L49" s="189">
        <f>in_MinsToday-(E49*in_ReviewRate*(F49+(1-D49)*in_CatchRate*in_FixMins)+(1-E49)*in_MinsToday)</f>
        <v>24.784</v>
      </c>
      <c r="M49" s="190">
        <f>IF(L49&gt;0,L49*G49,L49)/60*in_HourlyCost</f>
        <v>13.0116</v>
      </c>
      <c r="N49" s="190">
        <f>in_ErrRateToday*in_ErrCostToday-(E49*(1-D49)*(1-in_ReviewRate*in_CatchRate)*in_ErrCostAI+(1-E49)*in_ErrRateToday*in_ErrCostToday)</f>
        <v>4.32</v>
      </c>
      <c r="O49" s="191">
        <f>M49+N49-J49</f>
        <v>16.8996</v>
      </c>
      <c r="P49" s="140">
        <f>Model!D$47*MIN(1,(P$4-$I49&gt;=1)*INDEX(Model!$D$48:$O$48,1,MAX(1,P$4-$I49))*$H49)*$O49-IF(P$4-$I49&gt;=GoLiveQ,1,0)*(in_Platform*3+in_OngoingAnnual/4)-IF(P$4&lt;=in_Spread,$K49/in_Spread,0)</f>
        <v>-65000</v>
      </c>
      <c r="Q49" s="140">
        <f>Model!E$47*MIN(1,(Q$4-$I49&gt;=1)*INDEX(Model!$D$48:$O$48,1,MAX(1,Q$4-$I49))*$H49)*$O49-IF(Q$4-$I49&gt;=GoLiveQ,1,0)*(in_Platform*3+in_OngoingAnnual/4)-IF(Q$4&lt;=in_Spread,$K49/in_Spread,0)</f>
        <v>-77430.12</v>
      </c>
      <c r="R49" s="140">
        <f>Model!F$47*MIN(1,(R$4-$I49&gt;=1)*INDEX(Model!$D$48:$O$48,1,MAX(1,R$4-$I49))*$H49)*$O49-IF(R$4-$I49&gt;=GoLiveQ,1,0)*(in_Platform*3+in_OngoingAnnual/4)-IF(R$4&lt;=in_Spread,$K49/in_Spread,0)</f>
        <v>2779.52</v>
      </c>
      <c r="S49" s="140">
        <f>Model!G$47*MIN(1,(S$4-$I49&gt;=1)*INDEX(Model!$D$48:$O$48,1,MAX(1,S$4-$I49))*$H49)*$O49-IF(S$4-$I49&gt;=GoLiveQ,1,0)*(in_Platform*3+in_OngoingAnnual/4)-IF(S$4&lt;=in_Spread,$K49/in_Spread,0)</f>
        <v>17989.16</v>
      </c>
      <c r="T49" s="140">
        <f>Model!H$47*MIN(1,(T$4-$I49&gt;=1)*INDEX(Model!$D$48:$O$48,1,MAX(1,T$4-$I49))*$H49)*$O49-IF(T$4-$I49&gt;=GoLiveQ,1,0)*(in_Platform*3+in_OngoingAnnual/4)-IF(T$4&lt;=in_Spread,$K49/in_Spread,0)</f>
        <v>29903.378</v>
      </c>
      <c r="U49" s="140">
        <f>Model!I$47*MIN(1,(U$4-$I49&gt;=1)*INDEX(Model!$D$48:$O$48,1,MAX(1,U$4-$I49))*$H49)*$O49-IF(U$4-$I49&gt;=GoLiveQ,1,0)*(in_Platform*3+in_OngoingAnnual/4)-IF(U$4&lt;=in_Spread,$K49/in_Spread,0)</f>
        <v>32691.812</v>
      </c>
      <c r="V49" s="140">
        <f>Model!J$47*MIN(1,(V$4-$I49&gt;=1)*INDEX(Model!$D$48:$O$48,1,MAX(1,V$4-$I49))*$H49)*$O49-IF(V$4-$I49&gt;=GoLiveQ,1,0)*(in_Platform*3+in_OngoingAnnual/4)-IF(V$4&lt;=in_Spread,$K49/in_Spread,0)</f>
        <v>32691.812</v>
      </c>
      <c r="W49" s="140">
        <f>Model!K$47*MIN(1,(W$4-$I49&gt;=1)*INDEX(Model!$D$48:$O$48,1,MAX(1,W$4-$I49))*$H49)*$O49-IF(W$4-$I49&gt;=GoLiveQ,1,0)*(in_Platform*3+in_OngoingAnnual/4)-IF(W$4&lt;=in_Spread,$K49/in_Spread,0)</f>
        <v>32691.812</v>
      </c>
      <c r="X49" s="140">
        <f>Model!L$47*MIN(1,(X$4-$I49&gt;=1)*INDEX(Model!$D$48:$O$48,1,MAX(1,X$4-$I49))*$H49)*$O49-IF(X$4-$I49&gt;=GoLiveQ,1,0)*(in_Platform*3+in_OngoingAnnual/4)-IF(X$4&lt;=in_Spread,$K49/in_Spread,0)</f>
        <v>37710.9932</v>
      </c>
      <c r="Y49" s="140">
        <f>Model!M$47*MIN(1,(Y$4-$I49&gt;=1)*INDEX(Model!$D$48:$O$48,1,MAX(1,Y$4-$I49))*$H49)*$O49-IF(Y$4-$I49&gt;=GoLiveQ,1,0)*(in_Platform*3+in_OngoingAnnual/4)-IF(Y$4&lt;=in_Spread,$K49/in_Spread,0)</f>
        <v>37710.9932</v>
      </c>
      <c r="Z49" s="140">
        <f>Model!N$47*MIN(1,(Z$4-$I49&gt;=1)*INDEX(Model!$D$48:$O$48,1,MAX(1,Z$4-$I49))*$H49)*$O49-IF(Z$4-$I49&gt;=GoLiveQ,1,0)*(in_Platform*3+in_OngoingAnnual/4)-IF(Z$4&lt;=in_Spread,$K49/in_Spread,0)</f>
        <v>37710.9932</v>
      </c>
      <c r="AA49" s="140">
        <f>Model!O$47*MIN(1,(AA$4-$I49&gt;=1)*INDEX(Model!$D$48:$O$48,1,MAX(1,AA$4-$I49))*$H49)*$O49-IF(AA$4-$I49&gt;=GoLiveQ,1,0)*(in_Platform*3+in_OngoingAnnual/4)-IF(AA$4&lt;=in_Spread,$K49/in_Spread,0)</f>
        <v>37710.9932</v>
      </c>
      <c r="AB49" s="192">
        <f>SUMPRODUCT(P49:AA49,Model!$D$50:$O$50)</f>
        <v>108711.268858513</v>
      </c>
      <c r="AC49" s="140">
        <f>SUM(P49:AA49)</f>
        <v>157161.3468</v>
      </c>
    </row>
    <row r="50">
      <c r="B50" s="28" t="inlineStr">
        <is>
          <t>Run cost per item at High</t>
        </is>
      </c>
      <c r="C50" s="76" t="inlineStr">
        <is>
          <t>What moves it most</t>
        </is>
      </c>
      <c r="D50" s="184">
        <f>Scenarios!$D$20</f>
        <v>0.92</v>
      </c>
      <c r="E50" s="184">
        <f>Scenarios!$D$21</f>
        <v>0.8</v>
      </c>
      <c r="F50" s="185">
        <f>Scenarios!$D$22</f>
        <v>8</v>
      </c>
      <c r="G50" s="184">
        <f>Scenarios!$D$23</f>
        <v>0.7</v>
      </c>
      <c r="H50" s="137">
        <f>Scenarios!$D$24</f>
        <v>1</v>
      </c>
      <c r="I50" s="186">
        <f>Scenarios!$D$25</f>
        <v>0</v>
      </c>
      <c r="J50" s="187">
        <f>Scenarios!$E$26</f>
        <v>0.1728</v>
      </c>
      <c r="K50" s="188">
        <f>Scenarios!$D$27</f>
        <v>130000</v>
      </c>
      <c r="L50" s="189">
        <f>in_MinsToday-(E50*in_ReviewRate*(F50+(1-D50)*in_CatchRate*in_FixMins)+(1-E50)*in_MinsToday)</f>
        <v>24.784</v>
      </c>
      <c r="M50" s="190">
        <f>IF(L50&gt;0,L50*G50,L50)/60*in_HourlyCost</f>
        <v>13.0116</v>
      </c>
      <c r="N50" s="190">
        <f>in_ErrRateToday*in_ErrCostToday-(E50*(1-D50)*(1-in_ReviewRate*in_CatchRate)*in_ErrCostAI+(1-E50)*in_ErrRateToday*in_ErrCostToday)</f>
        <v>4.32</v>
      </c>
      <c r="O50" s="191">
        <f>M50+N50-J50</f>
        <v>17.1588</v>
      </c>
      <c r="P50" s="140">
        <f>Model!D$47*MIN(1,(P$4-$I50&gt;=1)*INDEX(Model!$D$48:$O$48,1,MAX(1,P$4-$I50))*$H50)*$O50-IF(P$4-$I50&gt;=GoLiveQ,1,0)*(in_Platform*3+in_OngoingAnnual/4)-IF(P$4&lt;=in_Spread,$K50/in_Spread,0)</f>
        <v>-65000</v>
      </c>
      <c r="Q50" s="140">
        <f>Model!E$47*MIN(1,(Q$4-$I50&gt;=1)*INDEX(Model!$D$48:$O$48,1,MAX(1,Q$4-$I50))*$H50)*$O50-IF(Q$4-$I50&gt;=GoLiveQ,1,0)*(in_Platform*3+in_OngoingAnnual/4)-IF(Q$4&lt;=in_Spread,$K50/in_Spread,0)</f>
        <v>-77352.36</v>
      </c>
      <c r="R50" s="140">
        <f>Model!F$47*MIN(1,(R$4-$I50&gt;=1)*INDEX(Model!$D$48:$O$48,1,MAX(1,R$4-$I50))*$H50)*$O50-IF(R$4-$I50&gt;=GoLiveQ,1,0)*(in_Platform*3+in_OngoingAnnual/4)-IF(R$4&lt;=in_Spread,$K50/in_Spread,0)</f>
        <v>3090.56000000001</v>
      </c>
      <c r="S50" s="140">
        <f>Model!G$47*MIN(1,(S$4-$I50&gt;=1)*INDEX(Model!$D$48:$O$48,1,MAX(1,S$4-$I50))*$H50)*$O50-IF(S$4-$I50&gt;=GoLiveQ,1,0)*(in_Platform*3+in_OngoingAnnual/4)-IF(S$4&lt;=in_Spread,$K50/in_Spread,0)</f>
        <v>18533.48</v>
      </c>
      <c r="T50" s="140">
        <f>Model!H$47*MIN(1,(T$4-$I50&gt;=1)*INDEX(Model!$D$48:$O$48,1,MAX(1,T$4-$I50))*$H50)*$O50-IF(T$4-$I50&gt;=GoLiveQ,1,0)*(in_Platform*3+in_OngoingAnnual/4)-IF(T$4&lt;=in_Spread,$K50/in_Spread,0)</f>
        <v>30630.434</v>
      </c>
      <c r="U50" s="140">
        <f>Model!I$47*MIN(1,(U$4-$I50&gt;=1)*INDEX(Model!$D$48:$O$48,1,MAX(1,U$4-$I50))*$H50)*$O50-IF(U$4-$I50&gt;=GoLiveQ,1,0)*(in_Platform*3+in_OngoingAnnual/4)-IF(U$4&lt;=in_Spread,$K50/in_Spread,0)</f>
        <v>33461.636</v>
      </c>
      <c r="V50" s="140">
        <f>Model!J$47*MIN(1,(V$4-$I50&gt;=1)*INDEX(Model!$D$48:$O$48,1,MAX(1,V$4-$I50))*$H50)*$O50-IF(V$4-$I50&gt;=GoLiveQ,1,0)*(in_Platform*3+in_OngoingAnnual/4)-IF(V$4&lt;=in_Spread,$K50/in_Spread,0)</f>
        <v>33461.636</v>
      </c>
      <c r="W50" s="140">
        <f>Model!K$47*MIN(1,(W$4-$I50&gt;=1)*INDEX(Model!$D$48:$O$48,1,MAX(1,W$4-$I50))*$H50)*$O50-IF(W$4-$I50&gt;=GoLiveQ,1,0)*(in_Platform*3+in_OngoingAnnual/4)-IF(W$4&lt;=in_Spread,$K50/in_Spread,0)</f>
        <v>33461.636</v>
      </c>
      <c r="X50" s="140">
        <f>Model!L$47*MIN(1,(X$4-$I50&gt;=1)*INDEX(Model!$D$48:$O$48,1,MAX(1,X$4-$I50))*$H50)*$O50-IF(X$4-$I50&gt;=GoLiveQ,1,0)*(in_Platform*3+in_OngoingAnnual/4)-IF(X$4&lt;=in_Spread,$K50/in_Spread,0)</f>
        <v>38557.7996</v>
      </c>
      <c r="Y50" s="140">
        <f>Model!M$47*MIN(1,(Y$4-$I50&gt;=1)*INDEX(Model!$D$48:$O$48,1,MAX(1,Y$4-$I50))*$H50)*$O50-IF(Y$4-$I50&gt;=GoLiveQ,1,0)*(in_Platform*3+in_OngoingAnnual/4)-IF(Y$4&lt;=in_Spread,$K50/in_Spread,0)</f>
        <v>38557.7996</v>
      </c>
      <c r="Z50" s="140">
        <f>Model!N$47*MIN(1,(Z$4-$I50&gt;=1)*INDEX(Model!$D$48:$O$48,1,MAX(1,Z$4-$I50))*$H50)*$O50-IF(Z$4-$I50&gt;=GoLiveQ,1,0)*(in_Platform*3+in_OngoingAnnual/4)-IF(Z$4&lt;=in_Spread,$K50/in_Spread,0)</f>
        <v>38557.7996</v>
      </c>
      <c r="AA50" s="140">
        <f>Model!O$47*MIN(1,(AA$4-$I50&gt;=1)*INDEX(Model!$D$48:$O$48,1,MAX(1,AA$4-$I50))*$H50)*$O50-IF(AA$4-$I50&gt;=GoLiveQ,1,0)*(in_Platform*3+in_OngoingAnnual/4)-IF(AA$4&lt;=in_Spread,$K50/in_Spread,0)</f>
        <v>38557.7996</v>
      </c>
      <c r="AB50" s="192">
        <f>SUMPRODUCT(P50:AA50,Model!$D$50:$O$50)</f>
        <v>114808.685688136</v>
      </c>
      <c r="AC50" s="140">
        <f>SUM(P50:AA50)</f>
        <v>164518.2204</v>
      </c>
    </row>
    <row r="51">
      <c r="B51" s="28" t="inlineStr">
        <is>
          <t>Total one-off cost at Low</t>
        </is>
      </c>
      <c r="C51" s="76" t="inlineStr">
        <is>
          <t>What moves it most</t>
        </is>
      </c>
      <c r="D51" s="184">
        <f>Scenarios!$D$20</f>
        <v>0.92</v>
      </c>
      <c r="E51" s="184">
        <f>Scenarios!$D$21</f>
        <v>0.8</v>
      </c>
      <c r="F51" s="185">
        <f>Scenarios!$D$22</f>
        <v>8</v>
      </c>
      <c r="G51" s="184">
        <f>Scenarios!$D$23</f>
        <v>0.7</v>
      </c>
      <c r="H51" s="137">
        <f>Scenarios!$D$24</f>
        <v>1</v>
      </c>
      <c r="I51" s="186">
        <f>Scenarios!$D$25</f>
        <v>0</v>
      </c>
      <c r="J51" s="187">
        <f>Scenarios!$D$26</f>
        <v>0.216</v>
      </c>
      <c r="K51" s="188">
        <f>Scenarios!$C$27</f>
        <v>162500</v>
      </c>
      <c r="L51" s="189">
        <f>in_MinsToday-(E51*in_ReviewRate*(F51+(1-D51)*in_CatchRate*in_FixMins)+(1-E51)*in_MinsToday)</f>
        <v>24.784</v>
      </c>
      <c r="M51" s="190">
        <f>IF(L51&gt;0,L51*G51,L51)/60*in_HourlyCost</f>
        <v>13.0116</v>
      </c>
      <c r="N51" s="190">
        <f>in_ErrRateToday*in_ErrCostToday-(E51*(1-D51)*(1-in_ReviewRate*in_CatchRate)*in_ErrCostAI+(1-E51)*in_ErrRateToday*in_ErrCostToday)</f>
        <v>4.32</v>
      </c>
      <c r="O51" s="191">
        <f>M51+N51-J51</f>
        <v>17.1156</v>
      </c>
      <c r="P51" s="140">
        <f>Model!D$47*MIN(1,(P$4-$I51&gt;=1)*INDEX(Model!$D$48:$O$48,1,MAX(1,P$4-$I51))*$H51)*$O51-IF(P$4-$I51&gt;=GoLiveQ,1,0)*(in_Platform*3+in_OngoingAnnual/4)-IF(P$4&lt;=in_Spread,$K51/in_Spread,0)</f>
        <v>-81250</v>
      </c>
      <c r="Q51" s="140">
        <f>Model!E$47*MIN(1,(Q$4-$I51&gt;=1)*INDEX(Model!$D$48:$O$48,1,MAX(1,Q$4-$I51))*$H51)*$O51-IF(Q$4-$I51&gt;=GoLiveQ,1,0)*(in_Platform*3+in_OngoingAnnual/4)-IF(Q$4&lt;=in_Spread,$K51/in_Spread,0)</f>
        <v>-93615.32</v>
      </c>
      <c r="R51" s="140">
        <f>Model!F$47*MIN(1,(R$4-$I51&gt;=1)*INDEX(Model!$D$48:$O$48,1,MAX(1,R$4-$I51))*$H51)*$O51-IF(R$4-$I51&gt;=GoLiveQ,1,0)*(in_Platform*3+in_OngoingAnnual/4)-IF(R$4&lt;=in_Spread,$K51/in_Spread,0)</f>
        <v>3038.72</v>
      </c>
      <c r="S51" s="140">
        <f>Model!G$47*MIN(1,(S$4-$I51&gt;=1)*INDEX(Model!$D$48:$O$48,1,MAX(1,S$4-$I51))*$H51)*$O51-IF(S$4-$I51&gt;=GoLiveQ,1,0)*(in_Platform*3+in_OngoingAnnual/4)-IF(S$4&lt;=in_Spread,$K51/in_Spread,0)</f>
        <v>18442.76</v>
      </c>
      <c r="T51" s="140">
        <f>Model!H$47*MIN(1,(T$4-$I51&gt;=1)*INDEX(Model!$D$48:$O$48,1,MAX(1,T$4-$I51))*$H51)*$O51-IF(T$4-$I51&gt;=GoLiveQ,1,0)*(in_Platform*3+in_OngoingAnnual/4)-IF(T$4&lt;=in_Spread,$K51/in_Spread,0)</f>
        <v>30509.258</v>
      </c>
      <c r="U51" s="140">
        <f>Model!I$47*MIN(1,(U$4-$I51&gt;=1)*INDEX(Model!$D$48:$O$48,1,MAX(1,U$4-$I51))*$H51)*$O51-IF(U$4-$I51&gt;=GoLiveQ,1,0)*(in_Platform*3+in_OngoingAnnual/4)-IF(U$4&lt;=in_Spread,$K51/in_Spread,0)</f>
        <v>33333.332</v>
      </c>
      <c r="V51" s="140">
        <f>Model!J$47*MIN(1,(V$4-$I51&gt;=1)*INDEX(Model!$D$48:$O$48,1,MAX(1,V$4-$I51))*$H51)*$O51-IF(V$4-$I51&gt;=GoLiveQ,1,0)*(in_Platform*3+in_OngoingAnnual/4)-IF(V$4&lt;=in_Spread,$K51/in_Spread,0)</f>
        <v>33333.332</v>
      </c>
      <c r="W51" s="140">
        <f>Model!K$47*MIN(1,(W$4-$I51&gt;=1)*INDEX(Model!$D$48:$O$48,1,MAX(1,W$4-$I51))*$H51)*$O51-IF(W$4-$I51&gt;=GoLiveQ,1,0)*(in_Platform*3+in_OngoingAnnual/4)-IF(W$4&lt;=in_Spread,$K51/in_Spread,0)</f>
        <v>33333.332</v>
      </c>
      <c r="X51" s="140">
        <f>Model!L$47*MIN(1,(X$4-$I51&gt;=1)*INDEX(Model!$D$48:$O$48,1,MAX(1,X$4-$I51))*$H51)*$O51-IF(X$4-$I51&gt;=GoLiveQ,1,0)*(in_Platform*3+in_OngoingAnnual/4)-IF(X$4&lt;=in_Spread,$K51/in_Spread,0)</f>
        <v>38416.6652</v>
      </c>
      <c r="Y51" s="140">
        <f>Model!M$47*MIN(1,(Y$4-$I51&gt;=1)*INDEX(Model!$D$48:$O$48,1,MAX(1,Y$4-$I51))*$H51)*$O51-IF(Y$4-$I51&gt;=GoLiveQ,1,0)*(in_Platform*3+in_OngoingAnnual/4)-IF(Y$4&lt;=in_Spread,$K51/in_Spread,0)</f>
        <v>38416.6652</v>
      </c>
      <c r="Z51" s="140">
        <f>Model!N$47*MIN(1,(Z$4-$I51&gt;=1)*INDEX(Model!$D$48:$O$48,1,MAX(1,Z$4-$I51))*$H51)*$O51-IF(Z$4-$I51&gt;=GoLiveQ,1,0)*(in_Platform*3+in_OngoingAnnual/4)-IF(Z$4&lt;=in_Spread,$K51/in_Spread,0)</f>
        <v>38416.6652</v>
      </c>
      <c r="AA51" s="140">
        <f>Model!O$47*MIN(1,(AA$4-$I51&gt;=1)*INDEX(Model!$D$48:$O$48,1,MAX(1,AA$4-$I51))*$H51)*$O51-IF(AA$4-$I51&gt;=GoLiveQ,1,0)*(in_Platform*3+in_OngoingAnnual/4)-IF(AA$4&lt;=in_Spread,$K51/in_Spread,0)</f>
        <v>38416.6652</v>
      </c>
      <c r="AB51" s="192">
        <f>SUMPRODUCT(P51:AA51,Model!$D$50:$O$50)</f>
        <v>82431.3035173847</v>
      </c>
      <c r="AC51" s="140">
        <f>SUM(P51:AA51)</f>
        <v>130792.0748</v>
      </c>
    </row>
    <row r="52">
      <c r="B52" s="28" t="inlineStr">
        <is>
          <t>Total one-off cost at High</t>
        </is>
      </c>
      <c r="C52" s="76" t="inlineStr">
        <is>
          <t>What moves it most</t>
        </is>
      </c>
      <c r="D52" s="184">
        <f>Scenarios!$D$20</f>
        <v>0.92</v>
      </c>
      <c r="E52" s="184">
        <f>Scenarios!$D$21</f>
        <v>0.8</v>
      </c>
      <c r="F52" s="185">
        <f>Scenarios!$D$22</f>
        <v>8</v>
      </c>
      <c r="G52" s="184">
        <f>Scenarios!$D$23</f>
        <v>0.7</v>
      </c>
      <c r="H52" s="137">
        <f>Scenarios!$D$24</f>
        <v>1</v>
      </c>
      <c r="I52" s="186">
        <f>Scenarios!$D$25</f>
        <v>0</v>
      </c>
      <c r="J52" s="187">
        <f>Scenarios!$D$26</f>
        <v>0.216</v>
      </c>
      <c r="K52" s="188">
        <f>Scenarios!$E$27</f>
        <v>130000</v>
      </c>
      <c r="L52" s="189">
        <f>in_MinsToday-(E52*in_ReviewRate*(F52+(1-D52)*in_CatchRate*in_FixMins)+(1-E52)*in_MinsToday)</f>
        <v>24.784</v>
      </c>
      <c r="M52" s="190">
        <f>IF(L52&gt;0,L52*G52,L52)/60*in_HourlyCost</f>
        <v>13.0116</v>
      </c>
      <c r="N52" s="190">
        <f>in_ErrRateToday*in_ErrCostToday-(E52*(1-D52)*(1-in_ReviewRate*in_CatchRate)*in_ErrCostAI+(1-E52)*in_ErrRateToday*in_ErrCostToday)</f>
        <v>4.32</v>
      </c>
      <c r="O52" s="191">
        <f>M52+N52-J52</f>
        <v>17.1156</v>
      </c>
      <c r="P52" s="140">
        <f>Model!D$47*MIN(1,(P$4-$I52&gt;=1)*INDEX(Model!$D$48:$O$48,1,MAX(1,P$4-$I52))*$H52)*$O52-IF(P$4-$I52&gt;=GoLiveQ,1,0)*(in_Platform*3+in_OngoingAnnual/4)-IF(P$4&lt;=in_Spread,$K52/in_Spread,0)</f>
        <v>-65000</v>
      </c>
      <c r="Q52" s="140">
        <f>Model!E$47*MIN(1,(Q$4-$I52&gt;=1)*INDEX(Model!$D$48:$O$48,1,MAX(1,Q$4-$I52))*$H52)*$O52-IF(Q$4-$I52&gt;=GoLiveQ,1,0)*(in_Platform*3+in_OngoingAnnual/4)-IF(Q$4&lt;=in_Spread,$K52/in_Spread,0)</f>
        <v>-77365.32</v>
      </c>
      <c r="R52" s="140">
        <f>Model!F$47*MIN(1,(R$4-$I52&gt;=1)*INDEX(Model!$D$48:$O$48,1,MAX(1,R$4-$I52))*$H52)*$O52-IF(R$4-$I52&gt;=GoLiveQ,1,0)*(in_Platform*3+in_OngoingAnnual/4)-IF(R$4&lt;=in_Spread,$K52/in_Spread,0)</f>
        <v>3038.72</v>
      </c>
      <c r="S52" s="140">
        <f>Model!G$47*MIN(1,(S$4-$I52&gt;=1)*INDEX(Model!$D$48:$O$48,1,MAX(1,S$4-$I52))*$H52)*$O52-IF(S$4-$I52&gt;=GoLiveQ,1,0)*(in_Platform*3+in_OngoingAnnual/4)-IF(S$4&lt;=in_Spread,$K52/in_Spread,0)</f>
        <v>18442.76</v>
      </c>
      <c r="T52" s="140">
        <f>Model!H$47*MIN(1,(T$4-$I52&gt;=1)*INDEX(Model!$D$48:$O$48,1,MAX(1,T$4-$I52))*$H52)*$O52-IF(T$4-$I52&gt;=GoLiveQ,1,0)*(in_Platform*3+in_OngoingAnnual/4)-IF(T$4&lt;=in_Spread,$K52/in_Spread,0)</f>
        <v>30509.258</v>
      </c>
      <c r="U52" s="140">
        <f>Model!I$47*MIN(1,(U$4-$I52&gt;=1)*INDEX(Model!$D$48:$O$48,1,MAX(1,U$4-$I52))*$H52)*$O52-IF(U$4-$I52&gt;=GoLiveQ,1,0)*(in_Platform*3+in_OngoingAnnual/4)-IF(U$4&lt;=in_Spread,$K52/in_Spread,0)</f>
        <v>33333.332</v>
      </c>
      <c r="V52" s="140">
        <f>Model!J$47*MIN(1,(V$4-$I52&gt;=1)*INDEX(Model!$D$48:$O$48,1,MAX(1,V$4-$I52))*$H52)*$O52-IF(V$4-$I52&gt;=GoLiveQ,1,0)*(in_Platform*3+in_OngoingAnnual/4)-IF(V$4&lt;=in_Spread,$K52/in_Spread,0)</f>
        <v>33333.332</v>
      </c>
      <c r="W52" s="140">
        <f>Model!K$47*MIN(1,(W$4-$I52&gt;=1)*INDEX(Model!$D$48:$O$48,1,MAX(1,W$4-$I52))*$H52)*$O52-IF(W$4-$I52&gt;=GoLiveQ,1,0)*(in_Platform*3+in_OngoingAnnual/4)-IF(W$4&lt;=in_Spread,$K52/in_Spread,0)</f>
        <v>33333.332</v>
      </c>
      <c r="X52" s="140">
        <f>Model!L$47*MIN(1,(X$4-$I52&gt;=1)*INDEX(Model!$D$48:$O$48,1,MAX(1,X$4-$I52))*$H52)*$O52-IF(X$4-$I52&gt;=GoLiveQ,1,0)*(in_Platform*3+in_OngoingAnnual/4)-IF(X$4&lt;=in_Spread,$K52/in_Spread,0)</f>
        <v>38416.6652</v>
      </c>
      <c r="Y52" s="140">
        <f>Model!M$47*MIN(1,(Y$4-$I52&gt;=1)*INDEX(Model!$D$48:$O$48,1,MAX(1,Y$4-$I52))*$H52)*$O52-IF(Y$4-$I52&gt;=GoLiveQ,1,0)*(in_Platform*3+in_OngoingAnnual/4)-IF(Y$4&lt;=in_Spread,$K52/in_Spread,0)</f>
        <v>38416.6652</v>
      </c>
      <c r="Z52" s="140">
        <f>Model!N$47*MIN(1,(Z$4-$I52&gt;=1)*INDEX(Model!$D$48:$O$48,1,MAX(1,Z$4-$I52))*$H52)*$O52-IF(Z$4-$I52&gt;=GoLiveQ,1,0)*(in_Platform*3+in_OngoingAnnual/4)-IF(Z$4&lt;=in_Spread,$K52/in_Spread,0)</f>
        <v>38416.6652</v>
      </c>
      <c r="AA52" s="140">
        <f>Model!O$47*MIN(1,(AA$4-$I52&gt;=1)*INDEX(Model!$D$48:$O$48,1,MAX(1,AA$4-$I52))*$H52)*$O52-IF(AA$4-$I52&gt;=GoLiveQ,1,0)*(in_Platform*3+in_OngoingAnnual/4)-IF(AA$4&lt;=in_Spread,$K52/in_Spread,0)</f>
        <v>38416.6652</v>
      </c>
      <c r="AB52" s="192">
        <f>SUMPRODUCT(P52:AA52,Model!$D$50:$O$50)</f>
        <v>113792.449549866</v>
      </c>
      <c r="AC52" s="140">
        <f>SUM(P52:AA52)</f>
        <v>163292.0748</v>
      </c>
    </row>
    <row r="53">
      <c r="B53" s="28" t="inlineStr">
        <is>
          <t>AI accuracy, step 1</t>
        </is>
      </c>
      <c r="C53" s="76" t="inlineStr">
        <is>
          <t>One-way</t>
        </is>
      </c>
      <c r="D53" s="193">
        <f>Sensitivity!D17</f>
        <v>0.82</v>
      </c>
      <c r="E53" s="184">
        <f>Scenarios!$F$21</f>
        <v>0.8</v>
      </c>
      <c r="F53" s="185">
        <f>Scenarios!$F$22</f>
        <v>8</v>
      </c>
      <c r="G53" s="184">
        <f>Scenarios!$F$23</f>
        <v>0.7</v>
      </c>
      <c r="H53" s="137">
        <f>Scenarios!$F$24</f>
        <v>1</v>
      </c>
      <c r="I53" s="186">
        <f>Scenarios!$F$25</f>
        <v>0</v>
      </c>
      <c r="J53" s="187">
        <f>Scenarios!$F$26</f>
        <v>0.216</v>
      </c>
      <c r="K53" s="188">
        <f>Scenarios!$F$27</f>
        <v>130000</v>
      </c>
      <c r="L53" s="189">
        <f>in_MinsToday-(E53*in_ReviewRate*(F53+(1-D53)*in_CatchRate*in_FixMins)+(1-E53)*in_MinsToday)</f>
        <v>23.764</v>
      </c>
      <c r="M53" s="190">
        <f>IF(L53&gt;0,L53*G53,L53)/60*in_HourlyCost</f>
        <v>12.4761</v>
      </c>
      <c r="N53" s="190">
        <f>in_ErrRateToday*in_ErrCostToday-(E53*(1-D53)*(1-in_ReviewRate*in_CatchRate)*in_ErrCostAI+(1-E53)*in_ErrRateToday*in_ErrCostToday)</f>
        <v>0.720000000000001</v>
      </c>
      <c r="O53" s="191">
        <f>M53+N53-J53</f>
        <v>12.9801</v>
      </c>
      <c r="P53" s="140">
        <f>Model!D$47*MIN(1,(P$4-$I53&gt;=1)*INDEX(Model!$D$48:$O$48,1,MAX(1,P$4-$I53))*$H53)*$O53-IF(P$4-$I53&gt;=GoLiveQ,1,0)*(in_Platform*3+in_OngoingAnnual/4)-IF(P$4&lt;=in_Spread,$K53/in_Spread,0)</f>
        <v>-65000</v>
      </c>
      <c r="Q53" s="140">
        <f>Model!E$47*MIN(1,(Q$4-$I53&gt;=1)*INDEX(Model!$D$48:$O$48,1,MAX(1,Q$4-$I53))*$H53)*$O53-IF(Q$4-$I53&gt;=GoLiveQ,1,0)*(in_Platform*3+in_OngoingAnnual/4)-IF(Q$4&lt;=in_Spread,$K53/in_Spread,0)</f>
        <v>-78605.97</v>
      </c>
      <c r="R53" s="140">
        <f>Model!F$47*MIN(1,(R$4-$I53&gt;=1)*INDEX(Model!$D$48:$O$48,1,MAX(1,R$4-$I53))*$H53)*$O53-IF(R$4-$I53&gt;=GoLiveQ,1,0)*(in_Platform*3+in_OngoingAnnual/4)-IF(R$4&lt;=in_Spread,$K53/in_Spread,0)</f>
        <v>-1923.88</v>
      </c>
      <c r="S53" s="140">
        <f>Model!G$47*MIN(1,(S$4-$I53&gt;=1)*INDEX(Model!$D$48:$O$48,1,MAX(1,S$4-$I53))*$H53)*$O53-IF(S$4-$I53&gt;=GoLiveQ,1,0)*(in_Platform*3+in_OngoingAnnual/4)-IF(S$4&lt;=in_Spread,$K53/in_Spread,0)</f>
        <v>9758.21</v>
      </c>
      <c r="T53" s="140">
        <f>Model!H$47*MIN(1,(T$4-$I53&gt;=1)*INDEX(Model!$D$48:$O$48,1,MAX(1,T$4-$I53))*$H53)*$O53-IF(T$4-$I53&gt;=GoLiveQ,1,0)*(in_Platform*3+in_OngoingAnnual/4)-IF(T$4&lt;=in_Spread,$K53/in_Spread,0)</f>
        <v>18909.1805</v>
      </c>
      <c r="U53" s="140">
        <f>Model!I$47*MIN(1,(U$4-$I53&gt;=1)*INDEX(Model!$D$48:$O$48,1,MAX(1,U$4-$I53))*$H53)*$O53-IF(U$4-$I53&gt;=GoLiveQ,1,0)*(in_Platform*3+in_OngoingAnnual/4)-IF(U$4&lt;=in_Spread,$K53/in_Spread,0)</f>
        <v>21050.897</v>
      </c>
      <c r="V53" s="140">
        <f>Model!J$47*MIN(1,(V$4-$I53&gt;=1)*INDEX(Model!$D$48:$O$48,1,MAX(1,V$4-$I53))*$H53)*$O53-IF(V$4-$I53&gt;=GoLiveQ,1,0)*(in_Platform*3+in_OngoingAnnual/4)-IF(V$4&lt;=in_Spread,$K53/in_Spread,0)</f>
        <v>21050.897</v>
      </c>
      <c r="W53" s="140">
        <f>Model!K$47*MIN(1,(W$4-$I53&gt;=1)*INDEX(Model!$D$48:$O$48,1,MAX(1,W$4-$I53))*$H53)*$O53-IF(W$4-$I53&gt;=GoLiveQ,1,0)*(in_Platform*3+in_OngoingAnnual/4)-IF(W$4&lt;=in_Spread,$K53/in_Spread,0)</f>
        <v>21050.897</v>
      </c>
      <c r="X53" s="140">
        <f>Model!L$47*MIN(1,(X$4-$I53&gt;=1)*INDEX(Model!$D$48:$O$48,1,MAX(1,X$4-$I53))*$H53)*$O53-IF(X$4-$I53&gt;=GoLiveQ,1,0)*(in_Platform*3+in_OngoingAnnual/4)-IF(X$4&lt;=in_Spread,$K53/in_Spread,0)</f>
        <v>24905.9867</v>
      </c>
      <c r="Y53" s="140">
        <f>Model!M$47*MIN(1,(Y$4-$I53&gt;=1)*INDEX(Model!$D$48:$O$48,1,MAX(1,Y$4-$I53))*$H53)*$O53-IF(Y$4-$I53&gt;=GoLiveQ,1,0)*(in_Platform*3+in_OngoingAnnual/4)-IF(Y$4&lt;=in_Spread,$K53/in_Spread,0)</f>
        <v>24905.9867</v>
      </c>
      <c r="Z53" s="140">
        <f>Model!N$47*MIN(1,(Z$4-$I53&gt;=1)*INDEX(Model!$D$48:$O$48,1,MAX(1,Z$4-$I53))*$H53)*$O53-IF(Z$4-$I53&gt;=GoLiveQ,1,0)*(in_Platform*3+in_OngoingAnnual/4)-IF(Z$4&lt;=in_Spread,$K53/in_Spread,0)</f>
        <v>24905.9867</v>
      </c>
      <c r="AA53" s="140">
        <f>Model!O$47*MIN(1,(AA$4-$I53&gt;=1)*INDEX(Model!$D$48:$O$48,1,MAX(1,AA$4-$I53))*$H53)*$O53-IF(AA$4-$I53&gt;=GoLiveQ,1,0)*(in_Platform*3+in_OngoingAnnual/4)-IF(AA$4&lt;=in_Spread,$K53/in_Spread,0)</f>
        <v>24905.9867</v>
      </c>
      <c r="AB53" s="192">
        <f>SUMPRODUCT(P53:AA53,Model!$D$50:$O$50)</f>
        <v>16509.010896673</v>
      </c>
      <c r="AC53" s="140">
        <f>SUM(P53:AA53)</f>
        <v>45914.1783000001</v>
      </c>
    </row>
    <row r="54">
      <c r="B54" s="28" t="inlineStr">
        <is>
          <t>AI accuracy, step 2</t>
        </is>
      </c>
      <c r="C54" s="76" t="inlineStr">
        <is>
          <t>One-way</t>
        </is>
      </c>
      <c r="D54" s="193">
        <f>Sensitivity!E17</f>
        <v>0.87</v>
      </c>
      <c r="E54" s="184">
        <f>Scenarios!$F$21</f>
        <v>0.8</v>
      </c>
      <c r="F54" s="185">
        <f>Scenarios!$F$22</f>
        <v>8</v>
      </c>
      <c r="G54" s="184">
        <f>Scenarios!$F$23</f>
        <v>0.7</v>
      </c>
      <c r="H54" s="137">
        <f>Scenarios!$F$24</f>
        <v>1</v>
      </c>
      <c r="I54" s="186">
        <f>Scenarios!$F$25</f>
        <v>0</v>
      </c>
      <c r="J54" s="187">
        <f>Scenarios!$F$26</f>
        <v>0.216</v>
      </c>
      <c r="K54" s="188">
        <f>Scenarios!$F$27</f>
        <v>130000</v>
      </c>
      <c r="L54" s="189">
        <f>in_MinsToday-(E54*in_ReviewRate*(F54+(1-D54)*in_CatchRate*in_FixMins)+(1-E54)*in_MinsToday)</f>
        <v>24.274</v>
      </c>
      <c r="M54" s="190">
        <f>IF(L54&gt;0,L54*G54,L54)/60*in_HourlyCost</f>
        <v>12.74385</v>
      </c>
      <c r="N54" s="190">
        <f>in_ErrRateToday*in_ErrCostToday-(E54*(1-D54)*(1-in_ReviewRate*in_CatchRate)*in_ErrCostAI+(1-E54)*in_ErrRateToday*in_ErrCostToday)</f>
        <v>2.52</v>
      </c>
      <c r="O54" s="191">
        <f>M54+N54-J54</f>
        <v>15.04785</v>
      </c>
      <c r="P54" s="140">
        <f>Model!D$47*MIN(1,(P$4-$I54&gt;=1)*INDEX(Model!$D$48:$O$48,1,MAX(1,P$4-$I54))*$H54)*$O54-IF(P$4-$I54&gt;=GoLiveQ,1,0)*(in_Platform*3+in_OngoingAnnual/4)-IF(P$4&lt;=in_Spread,$K54/in_Spread,0)</f>
        <v>-65000</v>
      </c>
      <c r="Q54" s="140">
        <f>Model!E$47*MIN(1,(Q$4-$I54&gt;=1)*INDEX(Model!$D$48:$O$48,1,MAX(1,Q$4-$I54))*$H54)*$O54-IF(Q$4-$I54&gt;=GoLiveQ,1,0)*(in_Platform*3+in_OngoingAnnual/4)-IF(Q$4&lt;=in_Spread,$K54/in_Spread,0)</f>
        <v>-77985.645</v>
      </c>
      <c r="R54" s="140">
        <f>Model!F$47*MIN(1,(R$4-$I54&gt;=1)*INDEX(Model!$D$48:$O$48,1,MAX(1,R$4-$I54))*$H54)*$O54-IF(R$4-$I54&gt;=GoLiveQ,1,0)*(in_Platform*3+in_OngoingAnnual/4)-IF(R$4&lt;=in_Spread,$K54/in_Spread,0)</f>
        <v>557.419999999998</v>
      </c>
      <c r="S54" s="140">
        <f>Model!G$47*MIN(1,(S$4-$I54&gt;=1)*INDEX(Model!$D$48:$O$48,1,MAX(1,S$4-$I54))*$H54)*$O54-IF(S$4-$I54&gt;=GoLiveQ,1,0)*(in_Platform*3+in_OngoingAnnual/4)-IF(S$4&lt;=in_Spread,$K54/in_Spread,0)</f>
        <v>14100.485</v>
      </c>
      <c r="T54" s="140">
        <f>Model!H$47*MIN(1,(T$4-$I54&gt;=1)*INDEX(Model!$D$48:$O$48,1,MAX(1,T$4-$I54))*$H54)*$O54-IF(T$4-$I54&gt;=GoLiveQ,1,0)*(in_Platform*3+in_OngoingAnnual/4)-IF(T$4&lt;=in_Spread,$K54/in_Spread,0)</f>
        <v>24709.21925</v>
      </c>
      <c r="U54" s="140">
        <f>Model!I$47*MIN(1,(U$4-$I54&gt;=1)*INDEX(Model!$D$48:$O$48,1,MAX(1,U$4-$I54))*$H54)*$O54-IF(U$4-$I54&gt;=GoLiveQ,1,0)*(in_Platform*3+in_OngoingAnnual/4)-IF(U$4&lt;=in_Spread,$K54/in_Spread,0)</f>
        <v>27192.1145</v>
      </c>
      <c r="V54" s="140">
        <f>Model!J$47*MIN(1,(V$4-$I54&gt;=1)*INDEX(Model!$D$48:$O$48,1,MAX(1,V$4-$I54))*$H54)*$O54-IF(V$4-$I54&gt;=GoLiveQ,1,0)*(in_Platform*3+in_OngoingAnnual/4)-IF(V$4&lt;=in_Spread,$K54/in_Spread,0)</f>
        <v>27192.1145</v>
      </c>
      <c r="W54" s="140">
        <f>Model!K$47*MIN(1,(W$4-$I54&gt;=1)*INDEX(Model!$D$48:$O$48,1,MAX(1,W$4-$I54))*$H54)*$O54-IF(W$4-$I54&gt;=GoLiveQ,1,0)*(in_Platform*3+in_OngoingAnnual/4)-IF(W$4&lt;=in_Spread,$K54/in_Spread,0)</f>
        <v>27192.1145</v>
      </c>
      <c r="X54" s="140">
        <f>Model!L$47*MIN(1,(X$4-$I54&gt;=1)*INDEX(Model!$D$48:$O$48,1,MAX(1,X$4-$I54))*$H54)*$O54-IF(X$4-$I54&gt;=GoLiveQ,1,0)*(in_Platform*3+in_OngoingAnnual/4)-IF(X$4&lt;=in_Spread,$K54/in_Spread,0)</f>
        <v>31661.32595</v>
      </c>
      <c r="Y54" s="140">
        <f>Model!M$47*MIN(1,(Y$4-$I54&gt;=1)*INDEX(Model!$D$48:$O$48,1,MAX(1,Y$4-$I54))*$H54)*$O54-IF(Y$4-$I54&gt;=GoLiveQ,1,0)*(in_Platform*3+in_OngoingAnnual/4)-IF(Y$4&lt;=in_Spread,$K54/in_Spread,0)</f>
        <v>31661.32595</v>
      </c>
      <c r="Z54" s="140">
        <f>Model!N$47*MIN(1,(Z$4-$I54&gt;=1)*INDEX(Model!$D$48:$O$48,1,MAX(1,Z$4-$I54))*$H54)*$O54-IF(Z$4-$I54&gt;=GoLiveQ,1,0)*(in_Platform*3+in_OngoingAnnual/4)-IF(Z$4&lt;=in_Spread,$K54/in_Spread,0)</f>
        <v>31661.32595</v>
      </c>
      <c r="AA54" s="140">
        <f>Model!O$47*MIN(1,(AA$4-$I54&gt;=1)*INDEX(Model!$D$48:$O$48,1,MAX(1,AA$4-$I54))*$H54)*$O54-IF(AA$4-$I54&gt;=GoLiveQ,1,0)*(in_Platform*3+in_OngoingAnnual/4)-IF(AA$4&lt;=in_Spread,$K54/in_Spread,0)</f>
        <v>31661.32595</v>
      </c>
      <c r="AB54" s="192">
        <f>SUMPRODUCT(P54:AA54,Model!$D$50:$O$50)</f>
        <v>65150.7302232693</v>
      </c>
      <c r="AC54" s="140">
        <f>SUM(P54:AA54)</f>
        <v>104603.12655</v>
      </c>
    </row>
    <row r="55">
      <c r="B55" s="28" t="inlineStr">
        <is>
          <t>AI accuracy, step 3</t>
        </is>
      </c>
      <c r="C55" s="76" t="inlineStr">
        <is>
          <t>One-way</t>
        </is>
      </c>
      <c r="D55" s="193">
        <f>Sensitivity!F17</f>
        <v>0.92</v>
      </c>
      <c r="E55" s="184">
        <f>Scenarios!$F$21</f>
        <v>0.8</v>
      </c>
      <c r="F55" s="185">
        <f>Scenarios!$F$22</f>
        <v>8</v>
      </c>
      <c r="G55" s="184">
        <f>Scenarios!$F$23</f>
        <v>0.7</v>
      </c>
      <c r="H55" s="137">
        <f>Scenarios!$F$24</f>
        <v>1</v>
      </c>
      <c r="I55" s="186">
        <f>Scenarios!$F$25</f>
        <v>0</v>
      </c>
      <c r="J55" s="187">
        <f>Scenarios!$F$26</f>
        <v>0.216</v>
      </c>
      <c r="K55" s="188">
        <f>Scenarios!$F$27</f>
        <v>130000</v>
      </c>
      <c r="L55" s="189">
        <f>in_MinsToday-(E55*in_ReviewRate*(F55+(1-D55)*in_CatchRate*in_FixMins)+(1-E55)*in_MinsToday)</f>
        <v>24.784</v>
      </c>
      <c r="M55" s="190">
        <f>IF(L55&gt;0,L55*G55,L55)/60*in_HourlyCost</f>
        <v>13.0116</v>
      </c>
      <c r="N55" s="190">
        <f>in_ErrRateToday*in_ErrCostToday-(E55*(1-D55)*(1-in_ReviewRate*in_CatchRate)*in_ErrCostAI+(1-E55)*in_ErrRateToday*in_ErrCostToday)</f>
        <v>4.32</v>
      </c>
      <c r="O55" s="191">
        <f>M55+N55-J55</f>
        <v>17.1156</v>
      </c>
      <c r="P55" s="140">
        <f>Model!D$47*MIN(1,(P$4-$I55&gt;=1)*INDEX(Model!$D$48:$O$48,1,MAX(1,P$4-$I55))*$H55)*$O55-IF(P$4-$I55&gt;=GoLiveQ,1,0)*(in_Platform*3+in_OngoingAnnual/4)-IF(P$4&lt;=in_Spread,$K55/in_Spread,0)</f>
        <v>-65000</v>
      </c>
      <c r="Q55" s="140">
        <f>Model!E$47*MIN(1,(Q$4-$I55&gt;=1)*INDEX(Model!$D$48:$O$48,1,MAX(1,Q$4-$I55))*$H55)*$O55-IF(Q$4-$I55&gt;=GoLiveQ,1,0)*(in_Platform*3+in_OngoingAnnual/4)-IF(Q$4&lt;=in_Spread,$K55/in_Spread,0)</f>
        <v>-77365.32</v>
      </c>
      <c r="R55" s="140">
        <f>Model!F$47*MIN(1,(R$4-$I55&gt;=1)*INDEX(Model!$D$48:$O$48,1,MAX(1,R$4-$I55))*$H55)*$O55-IF(R$4-$I55&gt;=GoLiveQ,1,0)*(in_Platform*3+in_OngoingAnnual/4)-IF(R$4&lt;=in_Spread,$K55/in_Spread,0)</f>
        <v>3038.72</v>
      </c>
      <c r="S55" s="140">
        <f>Model!G$47*MIN(1,(S$4-$I55&gt;=1)*INDEX(Model!$D$48:$O$48,1,MAX(1,S$4-$I55))*$H55)*$O55-IF(S$4-$I55&gt;=GoLiveQ,1,0)*(in_Platform*3+in_OngoingAnnual/4)-IF(S$4&lt;=in_Spread,$K55/in_Spread,0)</f>
        <v>18442.76</v>
      </c>
      <c r="T55" s="140">
        <f>Model!H$47*MIN(1,(T$4-$I55&gt;=1)*INDEX(Model!$D$48:$O$48,1,MAX(1,T$4-$I55))*$H55)*$O55-IF(T$4-$I55&gt;=GoLiveQ,1,0)*(in_Platform*3+in_OngoingAnnual/4)-IF(T$4&lt;=in_Spread,$K55/in_Spread,0)</f>
        <v>30509.258</v>
      </c>
      <c r="U55" s="140">
        <f>Model!I$47*MIN(1,(U$4-$I55&gt;=1)*INDEX(Model!$D$48:$O$48,1,MAX(1,U$4-$I55))*$H55)*$O55-IF(U$4-$I55&gt;=GoLiveQ,1,0)*(in_Platform*3+in_OngoingAnnual/4)-IF(U$4&lt;=in_Spread,$K55/in_Spread,0)</f>
        <v>33333.332</v>
      </c>
      <c r="V55" s="140">
        <f>Model!J$47*MIN(1,(V$4-$I55&gt;=1)*INDEX(Model!$D$48:$O$48,1,MAX(1,V$4-$I55))*$H55)*$O55-IF(V$4-$I55&gt;=GoLiveQ,1,0)*(in_Platform*3+in_OngoingAnnual/4)-IF(V$4&lt;=in_Spread,$K55/in_Spread,0)</f>
        <v>33333.332</v>
      </c>
      <c r="W55" s="140">
        <f>Model!K$47*MIN(1,(W$4-$I55&gt;=1)*INDEX(Model!$D$48:$O$48,1,MAX(1,W$4-$I55))*$H55)*$O55-IF(W$4-$I55&gt;=GoLiveQ,1,0)*(in_Platform*3+in_OngoingAnnual/4)-IF(W$4&lt;=in_Spread,$K55/in_Spread,0)</f>
        <v>33333.332</v>
      </c>
      <c r="X55" s="140">
        <f>Model!L$47*MIN(1,(X$4-$I55&gt;=1)*INDEX(Model!$D$48:$O$48,1,MAX(1,X$4-$I55))*$H55)*$O55-IF(X$4-$I55&gt;=GoLiveQ,1,0)*(in_Platform*3+in_OngoingAnnual/4)-IF(X$4&lt;=in_Spread,$K55/in_Spread,0)</f>
        <v>38416.6652</v>
      </c>
      <c r="Y55" s="140">
        <f>Model!M$47*MIN(1,(Y$4-$I55&gt;=1)*INDEX(Model!$D$48:$O$48,1,MAX(1,Y$4-$I55))*$H55)*$O55-IF(Y$4-$I55&gt;=GoLiveQ,1,0)*(in_Platform*3+in_OngoingAnnual/4)-IF(Y$4&lt;=in_Spread,$K55/in_Spread,0)</f>
        <v>38416.6652</v>
      </c>
      <c r="Z55" s="140">
        <f>Model!N$47*MIN(1,(Z$4-$I55&gt;=1)*INDEX(Model!$D$48:$O$48,1,MAX(1,Z$4-$I55))*$H55)*$O55-IF(Z$4-$I55&gt;=GoLiveQ,1,0)*(in_Platform*3+in_OngoingAnnual/4)-IF(Z$4&lt;=in_Spread,$K55/in_Spread,0)</f>
        <v>38416.6652</v>
      </c>
      <c r="AA55" s="140">
        <f>Model!O$47*MIN(1,(AA$4-$I55&gt;=1)*INDEX(Model!$D$48:$O$48,1,MAX(1,AA$4-$I55))*$H55)*$O55-IF(AA$4-$I55&gt;=GoLiveQ,1,0)*(in_Platform*3+in_OngoingAnnual/4)-IF(AA$4&lt;=in_Spread,$K55/in_Spread,0)</f>
        <v>38416.6652</v>
      </c>
      <c r="AB55" s="192">
        <f>SUMPRODUCT(P55:AA55,Model!$D$50:$O$50)</f>
        <v>113792.449549866</v>
      </c>
      <c r="AC55" s="140">
        <f>SUM(P55:AA55)</f>
        <v>163292.0748</v>
      </c>
    </row>
    <row r="56">
      <c r="B56" s="28" t="inlineStr">
        <is>
          <t>AI accuracy, step 4</t>
        </is>
      </c>
      <c r="C56" s="76" t="inlineStr">
        <is>
          <t>One-way</t>
        </is>
      </c>
      <c r="D56" s="193">
        <f>Sensitivity!G17</f>
        <v>0.94</v>
      </c>
      <c r="E56" s="184">
        <f>Scenarios!$F$21</f>
        <v>0.8</v>
      </c>
      <c r="F56" s="185">
        <f>Scenarios!$F$22</f>
        <v>8</v>
      </c>
      <c r="G56" s="184">
        <f>Scenarios!$F$23</f>
        <v>0.7</v>
      </c>
      <c r="H56" s="137">
        <f>Scenarios!$F$24</f>
        <v>1</v>
      </c>
      <c r="I56" s="186">
        <f>Scenarios!$F$25</f>
        <v>0</v>
      </c>
      <c r="J56" s="187">
        <f>Scenarios!$F$26</f>
        <v>0.216</v>
      </c>
      <c r="K56" s="188">
        <f>Scenarios!$F$27</f>
        <v>130000</v>
      </c>
      <c r="L56" s="189">
        <f>in_MinsToday-(E56*in_ReviewRate*(F56+(1-D56)*in_CatchRate*in_FixMins)+(1-E56)*in_MinsToday)</f>
        <v>24.988</v>
      </c>
      <c r="M56" s="190">
        <f>IF(L56&gt;0,L56*G56,L56)/60*in_HourlyCost</f>
        <v>13.1187</v>
      </c>
      <c r="N56" s="190">
        <f>in_ErrRateToday*in_ErrCostToday-(E56*(1-D56)*(1-in_ReviewRate*in_CatchRate)*in_ErrCostAI+(1-E56)*in_ErrRateToday*in_ErrCostToday)</f>
        <v>5.04</v>
      </c>
      <c r="O56" s="191">
        <f>M56+N56-J56</f>
        <v>17.9427</v>
      </c>
      <c r="P56" s="140">
        <f>Model!D$47*MIN(1,(P$4-$I56&gt;=1)*INDEX(Model!$D$48:$O$48,1,MAX(1,P$4-$I56))*$H56)*$O56-IF(P$4-$I56&gt;=GoLiveQ,1,0)*(in_Platform*3+in_OngoingAnnual/4)-IF(P$4&lt;=in_Spread,$K56/in_Spread,0)</f>
        <v>-65000</v>
      </c>
      <c r="Q56" s="140">
        <f>Model!E$47*MIN(1,(Q$4-$I56&gt;=1)*INDEX(Model!$D$48:$O$48,1,MAX(1,Q$4-$I56))*$H56)*$O56-IF(Q$4-$I56&gt;=GoLiveQ,1,0)*(in_Platform*3+in_OngoingAnnual/4)-IF(Q$4&lt;=in_Spread,$K56/in_Spread,0)</f>
        <v>-77117.19</v>
      </c>
      <c r="R56" s="140">
        <f>Model!F$47*MIN(1,(R$4-$I56&gt;=1)*INDEX(Model!$D$48:$O$48,1,MAX(1,R$4-$I56))*$H56)*$O56-IF(R$4-$I56&gt;=GoLiveQ,1,0)*(in_Platform*3+in_OngoingAnnual/4)-IF(R$4&lt;=in_Spread,$K56/in_Spread,0)</f>
        <v>4031.24</v>
      </c>
      <c r="S56" s="140">
        <f>Model!G$47*MIN(1,(S$4-$I56&gt;=1)*INDEX(Model!$D$48:$O$48,1,MAX(1,S$4-$I56))*$H56)*$O56-IF(S$4-$I56&gt;=GoLiveQ,1,0)*(in_Platform*3+in_OngoingAnnual/4)-IF(S$4&lt;=in_Spread,$K56/in_Spread,0)</f>
        <v>20179.67</v>
      </c>
      <c r="T56" s="140">
        <f>Model!H$47*MIN(1,(T$4-$I56&gt;=1)*INDEX(Model!$D$48:$O$48,1,MAX(1,T$4-$I56))*$H56)*$O56-IF(T$4-$I56&gt;=GoLiveQ,1,0)*(in_Platform*3+in_OngoingAnnual/4)-IF(T$4&lt;=in_Spread,$K56/in_Spread,0)</f>
        <v>32829.2735</v>
      </c>
      <c r="U56" s="140">
        <f>Model!I$47*MIN(1,(U$4-$I56&gt;=1)*INDEX(Model!$D$48:$O$48,1,MAX(1,U$4-$I56))*$H56)*$O56-IF(U$4-$I56&gt;=GoLiveQ,1,0)*(in_Platform*3+in_OngoingAnnual/4)-IF(U$4&lt;=in_Spread,$K56/in_Spread,0)</f>
        <v>35789.819</v>
      </c>
      <c r="V56" s="140">
        <f>Model!J$47*MIN(1,(V$4-$I56&gt;=1)*INDEX(Model!$D$48:$O$48,1,MAX(1,V$4-$I56))*$H56)*$O56-IF(V$4-$I56&gt;=GoLiveQ,1,0)*(in_Platform*3+in_OngoingAnnual/4)-IF(V$4&lt;=in_Spread,$K56/in_Spread,0)</f>
        <v>35789.819</v>
      </c>
      <c r="W56" s="140">
        <f>Model!K$47*MIN(1,(W$4-$I56&gt;=1)*INDEX(Model!$D$48:$O$48,1,MAX(1,W$4-$I56))*$H56)*$O56-IF(W$4-$I56&gt;=GoLiveQ,1,0)*(in_Platform*3+in_OngoingAnnual/4)-IF(W$4&lt;=in_Spread,$K56/in_Spread,0)</f>
        <v>35789.819</v>
      </c>
      <c r="X56" s="140">
        <f>Model!L$47*MIN(1,(X$4-$I56&gt;=1)*INDEX(Model!$D$48:$O$48,1,MAX(1,X$4-$I56))*$H56)*$O56-IF(X$4-$I56&gt;=GoLiveQ,1,0)*(in_Platform*3+in_OngoingAnnual/4)-IF(X$4&lt;=in_Spread,$K56/in_Spread,0)</f>
        <v>41118.8009</v>
      </c>
      <c r="Y56" s="140">
        <f>Model!M$47*MIN(1,(Y$4-$I56&gt;=1)*INDEX(Model!$D$48:$O$48,1,MAX(1,Y$4-$I56))*$H56)*$O56-IF(Y$4-$I56&gt;=GoLiveQ,1,0)*(in_Platform*3+in_OngoingAnnual/4)-IF(Y$4&lt;=in_Spread,$K56/in_Spread,0)</f>
        <v>41118.8009</v>
      </c>
      <c r="Z56" s="140">
        <f>Model!N$47*MIN(1,(Z$4-$I56&gt;=1)*INDEX(Model!$D$48:$O$48,1,MAX(1,Z$4-$I56))*$H56)*$O56-IF(Z$4-$I56&gt;=GoLiveQ,1,0)*(in_Platform*3+in_OngoingAnnual/4)-IF(Z$4&lt;=in_Spread,$K56/in_Spread,0)</f>
        <v>41118.8009</v>
      </c>
      <c r="AA56" s="140">
        <f>Model!O$47*MIN(1,(AA$4-$I56&gt;=1)*INDEX(Model!$D$48:$O$48,1,MAX(1,AA$4-$I56))*$H56)*$O56-IF(AA$4-$I56&gt;=GoLiveQ,1,0)*(in_Platform*3+in_OngoingAnnual/4)-IF(AA$4&lt;=in_Spread,$K56/in_Spread,0)</f>
        <v>41118.8009</v>
      </c>
      <c r="AB56" s="192">
        <f>SUMPRODUCT(P56:AA56,Model!$D$50:$O$50)</f>
        <v>133249.137280504</v>
      </c>
      <c r="AC56" s="140">
        <f>SUM(P56:AA56)</f>
        <v>186767.6541</v>
      </c>
    </row>
    <row r="57">
      <c r="B57" s="28" t="inlineStr">
        <is>
          <t>AI accuracy, step 5</t>
        </is>
      </c>
      <c r="C57" s="76" t="inlineStr">
        <is>
          <t>One-way</t>
        </is>
      </c>
      <c r="D57" s="193">
        <f>Sensitivity!H17</f>
        <v>0.97</v>
      </c>
      <c r="E57" s="184">
        <f>Scenarios!$F$21</f>
        <v>0.8</v>
      </c>
      <c r="F57" s="185">
        <f>Scenarios!$F$22</f>
        <v>8</v>
      </c>
      <c r="G57" s="184">
        <f>Scenarios!$F$23</f>
        <v>0.7</v>
      </c>
      <c r="H57" s="137">
        <f>Scenarios!$F$24</f>
        <v>1</v>
      </c>
      <c r="I57" s="186">
        <f>Scenarios!$F$25</f>
        <v>0</v>
      </c>
      <c r="J57" s="187">
        <f>Scenarios!$F$26</f>
        <v>0.216</v>
      </c>
      <c r="K57" s="188">
        <f>Scenarios!$F$27</f>
        <v>130000</v>
      </c>
      <c r="L57" s="189">
        <f>in_MinsToday-(E57*in_ReviewRate*(F57+(1-D57)*in_CatchRate*in_FixMins)+(1-E57)*in_MinsToday)</f>
        <v>25.294</v>
      </c>
      <c r="M57" s="190">
        <f>IF(L57&gt;0,L57*G57,L57)/60*in_HourlyCost</f>
        <v>13.27935</v>
      </c>
      <c r="N57" s="190">
        <f>in_ErrRateToday*in_ErrCostToday-(E57*(1-D57)*(1-in_ReviewRate*in_CatchRate)*in_ErrCostAI+(1-E57)*in_ErrRateToday*in_ErrCostToday)</f>
        <v>6.12</v>
      </c>
      <c r="O57" s="191">
        <f>M57+N57-J57</f>
        <v>19.18335</v>
      </c>
      <c r="P57" s="140">
        <f>Model!D$47*MIN(1,(P$4-$I57&gt;=1)*INDEX(Model!$D$48:$O$48,1,MAX(1,P$4-$I57))*$H57)*$O57-IF(P$4-$I57&gt;=GoLiveQ,1,0)*(in_Platform*3+in_OngoingAnnual/4)-IF(P$4&lt;=in_Spread,$K57/in_Spread,0)</f>
        <v>-65000</v>
      </c>
      <c r="Q57" s="140">
        <f>Model!E$47*MIN(1,(Q$4-$I57&gt;=1)*INDEX(Model!$D$48:$O$48,1,MAX(1,Q$4-$I57))*$H57)*$O57-IF(Q$4-$I57&gt;=GoLiveQ,1,0)*(in_Platform*3+in_OngoingAnnual/4)-IF(Q$4&lt;=in_Spread,$K57/in_Spread,0)</f>
        <v>-76744.995</v>
      </c>
      <c r="R57" s="140">
        <f>Model!F$47*MIN(1,(R$4-$I57&gt;=1)*INDEX(Model!$D$48:$O$48,1,MAX(1,R$4-$I57))*$H57)*$O57-IF(R$4-$I57&gt;=GoLiveQ,1,0)*(in_Platform*3+in_OngoingAnnual/4)-IF(R$4&lt;=in_Spread,$K57/in_Spread,0)</f>
        <v>5520.02</v>
      </c>
      <c r="S57" s="140">
        <f>Model!G$47*MIN(1,(S$4-$I57&gt;=1)*INDEX(Model!$D$48:$O$48,1,MAX(1,S$4-$I57))*$H57)*$O57-IF(S$4-$I57&gt;=GoLiveQ,1,0)*(in_Platform*3+in_OngoingAnnual/4)-IF(S$4&lt;=in_Spread,$K57/in_Spread,0)</f>
        <v>22785.035</v>
      </c>
      <c r="T57" s="140">
        <f>Model!H$47*MIN(1,(T$4-$I57&gt;=1)*INDEX(Model!$D$48:$O$48,1,MAX(1,T$4-$I57))*$H57)*$O57-IF(T$4-$I57&gt;=GoLiveQ,1,0)*(in_Platform*3+in_OngoingAnnual/4)-IF(T$4&lt;=in_Spread,$K57/in_Spread,0)</f>
        <v>36309.29675</v>
      </c>
      <c r="U57" s="140">
        <f>Model!I$47*MIN(1,(U$4-$I57&gt;=1)*INDEX(Model!$D$48:$O$48,1,MAX(1,U$4-$I57))*$H57)*$O57-IF(U$4-$I57&gt;=GoLiveQ,1,0)*(in_Platform*3+in_OngoingAnnual/4)-IF(U$4&lt;=in_Spread,$K57/in_Spread,0)</f>
        <v>39474.5495</v>
      </c>
      <c r="V57" s="140">
        <f>Model!J$47*MIN(1,(V$4-$I57&gt;=1)*INDEX(Model!$D$48:$O$48,1,MAX(1,V$4-$I57))*$H57)*$O57-IF(V$4-$I57&gt;=GoLiveQ,1,0)*(in_Platform*3+in_OngoingAnnual/4)-IF(V$4&lt;=in_Spread,$K57/in_Spread,0)</f>
        <v>39474.5495</v>
      </c>
      <c r="W57" s="140">
        <f>Model!K$47*MIN(1,(W$4-$I57&gt;=1)*INDEX(Model!$D$48:$O$48,1,MAX(1,W$4-$I57))*$H57)*$O57-IF(W$4-$I57&gt;=GoLiveQ,1,0)*(in_Platform*3+in_OngoingAnnual/4)-IF(W$4&lt;=in_Spread,$K57/in_Spread,0)</f>
        <v>39474.5495</v>
      </c>
      <c r="X57" s="140">
        <f>Model!L$47*MIN(1,(X$4-$I57&gt;=1)*INDEX(Model!$D$48:$O$48,1,MAX(1,X$4-$I57))*$H57)*$O57-IF(X$4-$I57&gt;=GoLiveQ,1,0)*(in_Platform*3+in_OngoingAnnual/4)-IF(X$4&lt;=in_Spread,$K57/in_Spread,0)</f>
        <v>45172.00445</v>
      </c>
      <c r="Y57" s="140">
        <f>Model!M$47*MIN(1,(Y$4-$I57&gt;=1)*INDEX(Model!$D$48:$O$48,1,MAX(1,Y$4-$I57))*$H57)*$O57-IF(Y$4-$I57&gt;=GoLiveQ,1,0)*(in_Platform*3+in_OngoingAnnual/4)-IF(Y$4&lt;=in_Spread,$K57/in_Spread,0)</f>
        <v>45172.00445</v>
      </c>
      <c r="Z57" s="140">
        <f>Model!N$47*MIN(1,(Z$4-$I57&gt;=1)*INDEX(Model!$D$48:$O$48,1,MAX(1,Z$4-$I57))*$H57)*$O57-IF(Z$4-$I57&gt;=GoLiveQ,1,0)*(in_Platform*3+in_OngoingAnnual/4)-IF(Z$4&lt;=in_Spread,$K57/in_Spread,0)</f>
        <v>45172.00445</v>
      </c>
      <c r="AA57" s="140">
        <f>Model!O$47*MIN(1,(AA$4-$I57&gt;=1)*INDEX(Model!$D$48:$O$48,1,MAX(1,AA$4-$I57))*$H57)*$O57-IF(AA$4-$I57&gt;=GoLiveQ,1,0)*(in_Platform*3+in_OngoingAnnual/4)-IF(AA$4&lt;=in_Spread,$K57/in_Spread,0)</f>
        <v>45172.00445</v>
      </c>
      <c r="AB57" s="192">
        <f>SUMPRODUCT(P57:AA57,Model!$D$50:$O$50)</f>
        <v>162434.168876462</v>
      </c>
      <c r="AC57" s="140">
        <f>SUM(P57:AA57)</f>
        <v>221981.02305</v>
      </c>
    </row>
    <row r="58">
      <c r="B58" s="28" t="inlineStr">
        <is>
          <t>Human minutes per reviewed item, step 1</t>
        </is>
      </c>
      <c r="C58" s="76" t="inlineStr">
        <is>
          <t>One-way</t>
        </is>
      </c>
      <c r="D58" s="184">
        <f>Scenarios!$F$20</f>
        <v>0.92</v>
      </c>
      <c r="E58" s="184">
        <f>Scenarios!$F$21</f>
        <v>0.8</v>
      </c>
      <c r="F58" s="194">
        <f>Sensitivity!D19</f>
        <v>16</v>
      </c>
      <c r="G58" s="184">
        <f>Scenarios!$F$23</f>
        <v>0.7</v>
      </c>
      <c r="H58" s="137">
        <f>Scenarios!$F$24</f>
        <v>1</v>
      </c>
      <c r="I58" s="186">
        <f>Scenarios!$F$25</f>
        <v>0</v>
      </c>
      <c r="J58" s="187">
        <f>Scenarios!$F$26</f>
        <v>0.216</v>
      </c>
      <c r="K58" s="188">
        <f>Scenarios!$F$27</f>
        <v>130000</v>
      </c>
      <c r="L58" s="189">
        <f>in_MinsToday-(E58*in_ReviewRate*(F58+(1-D58)*in_CatchRate*in_FixMins)+(1-E58)*in_MinsToday)</f>
        <v>18.384</v>
      </c>
      <c r="M58" s="190">
        <f>IF(L58&gt;0,L58*G58,L58)/60*in_HourlyCost</f>
        <v>9.6516</v>
      </c>
      <c r="N58" s="190">
        <f>in_ErrRateToday*in_ErrCostToday-(E58*(1-D58)*(1-in_ReviewRate*in_CatchRate)*in_ErrCostAI+(1-E58)*in_ErrRateToday*in_ErrCostToday)</f>
        <v>4.32</v>
      </c>
      <c r="O58" s="191">
        <f>M58+N58-J58</f>
        <v>13.7556</v>
      </c>
      <c r="P58" s="140">
        <f>Model!D$47*MIN(1,(P$4-$I58&gt;=1)*INDEX(Model!$D$48:$O$48,1,MAX(1,P$4-$I58))*$H58)*$O58-IF(P$4-$I58&gt;=GoLiveQ,1,0)*(in_Platform*3+in_OngoingAnnual/4)-IF(P$4&lt;=in_Spread,$K58/in_Spread,0)</f>
        <v>-65000</v>
      </c>
      <c r="Q58" s="140">
        <f>Model!E$47*MIN(1,(Q$4-$I58&gt;=1)*INDEX(Model!$D$48:$O$48,1,MAX(1,Q$4-$I58))*$H58)*$O58-IF(Q$4-$I58&gt;=GoLiveQ,1,0)*(in_Platform*3+in_OngoingAnnual/4)-IF(Q$4&lt;=in_Spread,$K58/in_Spread,0)</f>
        <v>-78373.32</v>
      </c>
      <c r="R58" s="140">
        <f>Model!F$47*MIN(1,(R$4-$I58&gt;=1)*INDEX(Model!$D$48:$O$48,1,MAX(1,R$4-$I58))*$H58)*$O58-IF(R$4-$I58&gt;=GoLiveQ,1,0)*(in_Platform*3+in_OngoingAnnual/4)-IF(R$4&lt;=in_Spread,$K58/in_Spread,0)</f>
        <v>-993.279999999995</v>
      </c>
      <c r="S58" s="140">
        <f>Model!G$47*MIN(1,(S$4-$I58&gt;=1)*INDEX(Model!$D$48:$O$48,1,MAX(1,S$4-$I58))*$H58)*$O58-IF(S$4-$I58&gt;=GoLiveQ,1,0)*(in_Platform*3+in_OngoingAnnual/4)-IF(S$4&lt;=in_Spread,$K58/in_Spread,0)</f>
        <v>11386.76</v>
      </c>
      <c r="T58" s="140">
        <f>Model!H$47*MIN(1,(T$4-$I58&gt;=1)*INDEX(Model!$D$48:$O$48,1,MAX(1,T$4-$I58))*$H58)*$O58-IF(T$4-$I58&gt;=GoLiveQ,1,0)*(in_Platform*3+in_OngoingAnnual/4)-IF(T$4&lt;=in_Spread,$K58/in_Spread,0)</f>
        <v>21084.458</v>
      </c>
      <c r="U58" s="140">
        <f>Model!I$47*MIN(1,(U$4-$I58&gt;=1)*INDEX(Model!$D$48:$O$48,1,MAX(1,U$4-$I58))*$H58)*$O58-IF(U$4-$I58&gt;=GoLiveQ,1,0)*(in_Platform*3+in_OngoingAnnual/4)-IF(U$4&lt;=in_Spread,$K58/in_Spread,0)</f>
        <v>23354.132</v>
      </c>
      <c r="V58" s="140">
        <f>Model!J$47*MIN(1,(V$4-$I58&gt;=1)*INDEX(Model!$D$48:$O$48,1,MAX(1,V$4-$I58))*$H58)*$O58-IF(V$4-$I58&gt;=GoLiveQ,1,0)*(in_Platform*3+in_OngoingAnnual/4)-IF(V$4&lt;=in_Spread,$K58/in_Spread,0)</f>
        <v>23354.132</v>
      </c>
      <c r="W58" s="140">
        <f>Model!K$47*MIN(1,(W$4-$I58&gt;=1)*INDEX(Model!$D$48:$O$48,1,MAX(1,W$4-$I58))*$H58)*$O58-IF(W$4-$I58&gt;=GoLiveQ,1,0)*(in_Platform*3+in_OngoingAnnual/4)-IF(W$4&lt;=in_Spread,$K58/in_Spread,0)</f>
        <v>23354.132</v>
      </c>
      <c r="X58" s="140">
        <f>Model!L$47*MIN(1,(X$4-$I58&gt;=1)*INDEX(Model!$D$48:$O$48,1,MAX(1,X$4-$I58))*$H58)*$O58-IF(X$4-$I58&gt;=GoLiveQ,1,0)*(in_Platform*3+in_OngoingAnnual/4)-IF(X$4&lt;=in_Spread,$K58/in_Spread,0)</f>
        <v>27439.5452</v>
      </c>
      <c r="Y58" s="140">
        <f>Model!M$47*MIN(1,(Y$4-$I58&gt;=1)*INDEX(Model!$D$48:$O$48,1,MAX(1,Y$4-$I58))*$H58)*$O58-IF(Y$4-$I58&gt;=GoLiveQ,1,0)*(in_Platform*3+in_OngoingAnnual/4)-IF(Y$4&lt;=in_Spread,$K58/in_Spread,0)</f>
        <v>27439.5452</v>
      </c>
      <c r="Z58" s="140">
        <f>Model!N$47*MIN(1,(Z$4-$I58&gt;=1)*INDEX(Model!$D$48:$O$48,1,MAX(1,Z$4-$I58))*$H58)*$O58-IF(Z$4-$I58&gt;=GoLiveQ,1,0)*(in_Platform*3+in_OngoingAnnual/4)-IF(Z$4&lt;=in_Spread,$K58/in_Spread,0)</f>
        <v>27439.5452</v>
      </c>
      <c r="AA58" s="140">
        <f>Model!O$47*MIN(1,(AA$4-$I58&gt;=1)*INDEX(Model!$D$48:$O$48,1,MAX(1,AA$4-$I58))*$H58)*$O58-IF(AA$4-$I58&gt;=GoLiveQ,1,0)*(in_Platform*3+in_OngoingAnnual/4)-IF(AA$4&lt;=in_Spread,$K58/in_Spread,0)</f>
        <v>27439.5452</v>
      </c>
      <c r="AB58" s="192">
        <f>SUMPRODUCT(P58:AA58,Model!$D$50:$O$50)</f>
        <v>34751.8610177106</v>
      </c>
      <c r="AC58" s="140">
        <f>SUM(P58:AA58)</f>
        <v>67925.1948000001</v>
      </c>
    </row>
    <row r="59">
      <c r="B59" s="28" t="inlineStr">
        <is>
          <t>Human minutes per reviewed item, step 2</t>
        </is>
      </c>
      <c r="C59" s="76" t="inlineStr">
        <is>
          <t>One-way</t>
        </is>
      </c>
      <c r="D59" s="184">
        <f>Scenarios!$F$20</f>
        <v>0.92</v>
      </c>
      <c r="E59" s="184">
        <f>Scenarios!$F$21</f>
        <v>0.8</v>
      </c>
      <c r="F59" s="194">
        <f>Sensitivity!E19</f>
        <v>12</v>
      </c>
      <c r="G59" s="184">
        <f>Scenarios!$F$23</f>
        <v>0.7</v>
      </c>
      <c r="H59" s="137">
        <f>Scenarios!$F$24</f>
        <v>1</v>
      </c>
      <c r="I59" s="186">
        <f>Scenarios!$F$25</f>
        <v>0</v>
      </c>
      <c r="J59" s="187">
        <f>Scenarios!$F$26</f>
        <v>0.216</v>
      </c>
      <c r="K59" s="188">
        <f>Scenarios!$F$27</f>
        <v>130000</v>
      </c>
      <c r="L59" s="189">
        <f>in_MinsToday-(E59*in_ReviewRate*(F59+(1-D59)*in_CatchRate*in_FixMins)+(1-E59)*in_MinsToday)</f>
        <v>21.584</v>
      </c>
      <c r="M59" s="190">
        <f>IF(L59&gt;0,L59*G59,L59)/60*in_HourlyCost</f>
        <v>11.3316</v>
      </c>
      <c r="N59" s="190">
        <f>in_ErrRateToday*in_ErrCostToday-(E59*(1-D59)*(1-in_ReviewRate*in_CatchRate)*in_ErrCostAI+(1-E59)*in_ErrRateToday*in_ErrCostToday)</f>
        <v>4.32</v>
      </c>
      <c r="O59" s="191">
        <f>M59+N59-J59</f>
        <v>15.4356</v>
      </c>
      <c r="P59" s="140">
        <f>Model!D$47*MIN(1,(P$4-$I59&gt;=1)*INDEX(Model!$D$48:$O$48,1,MAX(1,P$4-$I59))*$H59)*$O59-IF(P$4-$I59&gt;=GoLiveQ,1,0)*(in_Platform*3+in_OngoingAnnual/4)-IF(P$4&lt;=in_Spread,$K59/in_Spread,0)</f>
        <v>-65000</v>
      </c>
      <c r="Q59" s="140">
        <f>Model!E$47*MIN(1,(Q$4-$I59&gt;=1)*INDEX(Model!$D$48:$O$48,1,MAX(1,Q$4-$I59))*$H59)*$O59-IF(Q$4-$I59&gt;=GoLiveQ,1,0)*(in_Platform*3+in_OngoingAnnual/4)-IF(Q$4&lt;=in_Spread,$K59/in_Spread,0)</f>
        <v>-77869.32</v>
      </c>
      <c r="R59" s="140">
        <f>Model!F$47*MIN(1,(R$4-$I59&gt;=1)*INDEX(Model!$D$48:$O$48,1,MAX(1,R$4-$I59))*$H59)*$O59-IF(R$4-$I59&gt;=GoLiveQ,1,0)*(in_Platform*3+in_OngoingAnnual/4)-IF(R$4&lt;=in_Spread,$K59/in_Spread,0)</f>
        <v>1022.72</v>
      </c>
      <c r="S59" s="140">
        <f>Model!G$47*MIN(1,(S$4-$I59&gt;=1)*INDEX(Model!$D$48:$O$48,1,MAX(1,S$4-$I59))*$H59)*$O59-IF(S$4-$I59&gt;=GoLiveQ,1,0)*(in_Platform*3+in_OngoingAnnual/4)-IF(S$4&lt;=in_Spread,$K59/in_Spread,0)</f>
        <v>14914.76</v>
      </c>
      <c r="T59" s="140">
        <f>Model!H$47*MIN(1,(T$4-$I59&gt;=1)*INDEX(Model!$D$48:$O$48,1,MAX(1,T$4-$I59))*$H59)*$O59-IF(T$4-$I59&gt;=GoLiveQ,1,0)*(in_Platform*3+in_OngoingAnnual/4)-IF(T$4&lt;=in_Spread,$K59/in_Spread,0)</f>
        <v>25796.858</v>
      </c>
      <c r="U59" s="140">
        <f>Model!I$47*MIN(1,(U$4-$I59&gt;=1)*INDEX(Model!$D$48:$O$48,1,MAX(1,U$4-$I59))*$H59)*$O59-IF(U$4-$I59&gt;=GoLiveQ,1,0)*(in_Platform*3+in_OngoingAnnual/4)-IF(U$4&lt;=in_Spread,$K59/in_Spread,0)</f>
        <v>28343.732</v>
      </c>
      <c r="V59" s="140">
        <f>Model!J$47*MIN(1,(V$4-$I59&gt;=1)*INDEX(Model!$D$48:$O$48,1,MAX(1,V$4-$I59))*$H59)*$O59-IF(V$4-$I59&gt;=GoLiveQ,1,0)*(in_Platform*3+in_OngoingAnnual/4)-IF(V$4&lt;=in_Spread,$K59/in_Spread,0)</f>
        <v>28343.732</v>
      </c>
      <c r="W59" s="140">
        <f>Model!K$47*MIN(1,(W$4-$I59&gt;=1)*INDEX(Model!$D$48:$O$48,1,MAX(1,W$4-$I59))*$H59)*$O59-IF(W$4-$I59&gt;=GoLiveQ,1,0)*(in_Platform*3+in_OngoingAnnual/4)-IF(W$4&lt;=in_Spread,$K59/in_Spread,0)</f>
        <v>28343.732</v>
      </c>
      <c r="X59" s="140">
        <f>Model!L$47*MIN(1,(X$4-$I59&gt;=1)*INDEX(Model!$D$48:$O$48,1,MAX(1,X$4-$I59))*$H59)*$O59-IF(X$4-$I59&gt;=GoLiveQ,1,0)*(in_Platform*3+in_OngoingAnnual/4)-IF(X$4&lt;=in_Spread,$K59/in_Spread,0)</f>
        <v>32928.1052</v>
      </c>
      <c r="Y59" s="140">
        <f>Model!M$47*MIN(1,(Y$4-$I59&gt;=1)*INDEX(Model!$D$48:$O$48,1,MAX(1,Y$4-$I59))*$H59)*$O59-IF(Y$4-$I59&gt;=GoLiveQ,1,0)*(in_Platform*3+in_OngoingAnnual/4)-IF(Y$4&lt;=in_Spread,$K59/in_Spread,0)</f>
        <v>32928.1052</v>
      </c>
      <c r="Z59" s="140">
        <f>Model!N$47*MIN(1,(Z$4-$I59&gt;=1)*INDEX(Model!$D$48:$O$48,1,MAX(1,Z$4-$I59))*$H59)*$O59-IF(Z$4-$I59&gt;=GoLiveQ,1,0)*(in_Platform*3+in_OngoingAnnual/4)-IF(Z$4&lt;=in_Spread,$K59/in_Spread,0)</f>
        <v>32928.1052</v>
      </c>
      <c r="AA59" s="140">
        <f>Model!O$47*MIN(1,(AA$4-$I59&gt;=1)*INDEX(Model!$D$48:$O$48,1,MAX(1,AA$4-$I59))*$H59)*$O59-IF(AA$4-$I59&gt;=GoLiveQ,1,0)*(in_Platform*3+in_OngoingAnnual/4)-IF(AA$4&lt;=in_Spread,$K59/in_Spread,0)</f>
        <v>32928.1052</v>
      </c>
      <c r="AB59" s="192">
        <f>SUMPRODUCT(P59:AA59,Model!$D$50:$O$50)</f>
        <v>74272.1552837881</v>
      </c>
      <c r="AC59" s="140">
        <f>SUM(P59:AA59)</f>
        <v>115608.6348</v>
      </c>
    </row>
    <row r="60">
      <c r="B60" s="28" t="inlineStr">
        <is>
          <t>Human minutes per reviewed item, step 3</t>
        </is>
      </c>
      <c r="C60" s="76" t="inlineStr">
        <is>
          <t>One-way</t>
        </is>
      </c>
      <c r="D60" s="184">
        <f>Scenarios!$F$20</f>
        <v>0.92</v>
      </c>
      <c r="E60" s="184">
        <f>Scenarios!$F$21</f>
        <v>0.8</v>
      </c>
      <c r="F60" s="194">
        <f>Sensitivity!F19</f>
        <v>8</v>
      </c>
      <c r="G60" s="184">
        <f>Scenarios!$F$23</f>
        <v>0.7</v>
      </c>
      <c r="H60" s="137">
        <f>Scenarios!$F$24</f>
        <v>1</v>
      </c>
      <c r="I60" s="186">
        <f>Scenarios!$F$25</f>
        <v>0</v>
      </c>
      <c r="J60" s="187">
        <f>Scenarios!$F$26</f>
        <v>0.216</v>
      </c>
      <c r="K60" s="188">
        <f>Scenarios!$F$27</f>
        <v>130000</v>
      </c>
      <c r="L60" s="189">
        <f>in_MinsToday-(E60*in_ReviewRate*(F60+(1-D60)*in_CatchRate*in_FixMins)+(1-E60)*in_MinsToday)</f>
        <v>24.784</v>
      </c>
      <c r="M60" s="190">
        <f>IF(L60&gt;0,L60*G60,L60)/60*in_HourlyCost</f>
        <v>13.0116</v>
      </c>
      <c r="N60" s="190">
        <f>in_ErrRateToday*in_ErrCostToday-(E60*(1-D60)*(1-in_ReviewRate*in_CatchRate)*in_ErrCostAI+(1-E60)*in_ErrRateToday*in_ErrCostToday)</f>
        <v>4.32</v>
      </c>
      <c r="O60" s="191">
        <f>M60+N60-J60</f>
        <v>17.1156</v>
      </c>
      <c r="P60" s="140">
        <f>Model!D$47*MIN(1,(P$4-$I60&gt;=1)*INDEX(Model!$D$48:$O$48,1,MAX(1,P$4-$I60))*$H60)*$O60-IF(P$4-$I60&gt;=GoLiveQ,1,0)*(in_Platform*3+in_OngoingAnnual/4)-IF(P$4&lt;=in_Spread,$K60/in_Spread,0)</f>
        <v>-65000</v>
      </c>
      <c r="Q60" s="140">
        <f>Model!E$47*MIN(1,(Q$4-$I60&gt;=1)*INDEX(Model!$D$48:$O$48,1,MAX(1,Q$4-$I60))*$H60)*$O60-IF(Q$4-$I60&gt;=GoLiveQ,1,0)*(in_Platform*3+in_OngoingAnnual/4)-IF(Q$4&lt;=in_Spread,$K60/in_Spread,0)</f>
        <v>-77365.32</v>
      </c>
      <c r="R60" s="140">
        <f>Model!F$47*MIN(1,(R$4-$I60&gt;=1)*INDEX(Model!$D$48:$O$48,1,MAX(1,R$4-$I60))*$H60)*$O60-IF(R$4-$I60&gt;=GoLiveQ,1,0)*(in_Platform*3+in_OngoingAnnual/4)-IF(R$4&lt;=in_Spread,$K60/in_Spread,0)</f>
        <v>3038.72</v>
      </c>
      <c r="S60" s="140">
        <f>Model!G$47*MIN(1,(S$4-$I60&gt;=1)*INDEX(Model!$D$48:$O$48,1,MAX(1,S$4-$I60))*$H60)*$O60-IF(S$4-$I60&gt;=GoLiveQ,1,0)*(in_Platform*3+in_OngoingAnnual/4)-IF(S$4&lt;=in_Spread,$K60/in_Spread,0)</f>
        <v>18442.76</v>
      </c>
      <c r="T60" s="140">
        <f>Model!H$47*MIN(1,(T$4-$I60&gt;=1)*INDEX(Model!$D$48:$O$48,1,MAX(1,T$4-$I60))*$H60)*$O60-IF(T$4-$I60&gt;=GoLiveQ,1,0)*(in_Platform*3+in_OngoingAnnual/4)-IF(T$4&lt;=in_Spread,$K60/in_Spread,0)</f>
        <v>30509.258</v>
      </c>
      <c r="U60" s="140">
        <f>Model!I$47*MIN(1,(U$4-$I60&gt;=1)*INDEX(Model!$D$48:$O$48,1,MAX(1,U$4-$I60))*$H60)*$O60-IF(U$4-$I60&gt;=GoLiveQ,1,0)*(in_Platform*3+in_OngoingAnnual/4)-IF(U$4&lt;=in_Spread,$K60/in_Spread,0)</f>
        <v>33333.332</v>
      </c>
      <c r="V60" s="140">
        <f>Model!J$47*MIN(1,(V$4-$I60&gt;=1)*INDEX(Model!$D$48:$O$48,1,MAX(1,V$4-$I60))*$H60)*$O60-IF(V$4-$I60&gt;=GoLiveQ,1,0)*(in_Platform*3+in_OngoingAnnual/4)-IF(V$4&lt;=in_Spread,$K60/in_Spread,0)</f>
        <v>33333.332</v>
      </c>
      <c r="W60" s="140">
        <f>Model!K$47*MIN(1,(W$4-$I60&gt;=1)*INDEX(Model!$D$48:$O$48,1,MAX(1,W$4-$I60))*$H60)*$O60-IF(W$4-$I60&gt;=GoLiveQ,1,0)*(in_Platform*3+in_OngoingAnnual/4)-IF(W$4&lt;=in_Spread,$K60/in_Spread,0)</f>
        <v>33333.332</v>
      </c>
      <c r="X60" s="140">
        <f>Model!L$47*MIN(1,(X$4-$I60&gt;=1)*INDEX(Model!$D$48:$O$48,1,MAX(1,X$4-$I60))*$H60)*$O60-IF(X$4-$I60&gt;=GoLiveQ,1,0)*(in_Platform*3+in_OngoingAnnual/4)-IF(X$4&lt;=in_Spread,$K60/in_Spread,0)</f>
        <v>38416.6652</v>
      </c>
      <c r="Y60" s="140">
        <f>Model!M$47*MIN(1,(Y$4-$I60&gt;=1)*INDEX(Model!$D$48:$O$48,1,MAX(1,Y$4-$I60))*$H60)*$O60-IF(Y$4-$I60&gt;=GoLiveQ,1,0)*(in_Platform*3+in_OngoingAnnual/4)-IF(Y$4&lt;=in_Spread,$K60/in_Spread,0)</f>
        <v>38416.6652</v>
      </c>
      <c r="Z60" s="140">
        <f>Model!N$47*MIN(1,(Z$4-$I60&gt;=1)*INDEX(Model!$D$48:$O$48,1,MAX(1,Z$4-$I60))*$H60)*$O60-IF(Z$4-$I60&gt;=GoLiveQ,1,0)*(in_Platform*3+in_OngoingAnnual/4)-IF(Z$4&lt;=in_Spread,$K60/in_Spread,0)</f>
        <v>38416.6652</v>
      </c>
      <c r="AA60" s="140">
        <f>Model!O$47*MIN(1,(AA$4-$I60&gt;=1)*INDEX(Model!$D$48:$O$48,1,MAX(1,AA$4-$I60))*$H60)*$O60-IF(AA$4-$I60&gt;=GoLiveQ,1,0)*(in_Platform*3+in_OngoingAnnual/4)-IF(AA$4&lt;=in_Spread,$K60/in_Spread,0)</f>
        <v>38416.6652</v>
      </c>
      <c r="AB60" s="192">
        <f>SUMPRODUCT(P60:AA60,Model!$D$50:$O$50)</f>
        <v>113792.449549866</v>
      </c>
      <c r="AC60" s="140">
        <f>SUM(P60:AA60)</f>
        <v>163292.0748</v>
      </c>
    </row>
    <row r="61">
      <c r="B61" s="28" t="inlineStr">
        <is>
          <t>Human minutes per reviewed item, step 4</t>
        </is>
      </c>
      <c r="C61" s="76" t="inlineStr">
        <is>
          <t>One-way</t>
        </is>
      </c>
      <c r="D61" s="184">
        <f>Scenarios!$F$20</f>
        <v>0.92</v>
      </c>
      <c r="E61" s="184">
        <f>Scenarios!$F$21</f>
        <v>0.8</v>
      </c>
      <c r="F61" s="194">
        <f>Sensitivity!G19</f>
        <v>6</v>
      </c>
      <c r="G61" s="184">
        <f>Scenarios!$F$23</f>
        <v>0.7</v>
      </c>
      <c r="H61" s="137">
        <f>Scenarios!$F$24</f>
        <v>1</v>
      </c>
      <c r="I61" s="186">
        <f>Scenarios!$F$25</f>
        <v>0</v>
      </c>
      <c r="J61" s="187">
        <f>Scenarios!$F$26</f>
        <v>0.216</v>
      </c>
      <c r="K61" s="188">
        <f>Scenarios!$F$27</f>
        <v>130000</v>
      </c>
      <c r="L61" s="189">
        <f>in_MinsToday-(E61*in_ReviewRate*(F61+(1-D61)*in_CatchRate*in_FixMins)+(1-E61)*in_MinsToday)</f>
        <v>26.384</v>
      </c>
      <c r="M61" s="190">
        <f>IF(L61&gt;0,L61*G61,L61)/60*in_HourlyCost</f>
        <v>13.8516</v>
      </c>
      <c r="N61" s="190">
        <f>in_ErrRateToday*in_ErrCostToday-(E61*(1-D61)*(1-in_ReviewRate*in_CatchRate)*in_ErrCostAI+(1-E61)*in_ErrRateToday*in_ErrCostToday)</f>
        <v>4.32</v>
      </c>
      <c r="O61" s="191">
        <f>M61+N61-J61</f>
        <v>17.9556</v>
      </c>
      <c r="P61" s="140">
        <f>Model!D$47*MIN(1,(P$4-$I61&gt;=1)*INDEX(Model!$D$48:$O$48,1,MAX(1,P$4-$I61))*$H61)*$O61-IF(P$4-$I61&gt;=GoLiveQ,1,0)*(in_Platform*3+in_OngoingAnnual/4)-IF(P$4&lt;=in_Spread,$K61/in_Spread,0)</f>
        <v>-65000</v>
      </c>
      <c r="Q61" s="140">
        <f>Model!E$47*MIN(1,(Q$4-$I61&gt;=1)*INDEX(Model!$D$48:$O$48,1,MAX(1,Q$4-$I61))*$H61)*$O61-IF(Q$4-$I61&gt;=GoLiveQ,1,0)*(in_Platform*3+in_OngoingAnnual/4)-IF(Q$4&lt;=in_Spread,$K61/in_Spread,0)</f>
        <v>-77113.32</v>
      </c>
      <c r="R61" s="140">
        <f>Model!F$47*MIN(1,(R$4-$I61&gt;=1)*INDEX(Model!$D$48:$O$48,1,MAX(1,R$4-$I61))*$H61)*$O61-IF(R$4-$I61&gt;=GoLiveQ,1,0)*(in_Platform*3+in_OngoingAnnual/4)-IF(R$4&lt;=in_Spread,$K61/in_Spread,0)</f>
        <v>4046.72</v>
      </c>
      <c r="S61" s="140">
        <f>Model!G$47*MIN(1,(S$4-$I61&gt;=1)*INDEX(Model!$D$48:$O$48,1,MAX(1,S$4-$I61))*$H61)*$O61-IF(S$4-$I61&gt;=GoLiveQ,1,0)*(in_Platform*3+in_OngoingAnnual/4)-IF(S$4&lt;=in_Spread,$K61/in_Spread,0)</f>
        <v>20206.76</v>
      </c>
      <c r="T61" s="140">
        <f>Model!H$47*MIN(1,(T$4-$I61&gt;=1)*INDEX(Model!$D$48:$O$48,1,MAX(1,T$4-$I61))*$H61)*$O61-IF(T$4-$I61&gt;=GoLiveQ,1,0)*(in_Platform*3+in_OngoingAnnual/4)-IF(T$4&lt;=in_Spread,$K61/in_Spread,0)</f>
        <v>32865.458</v>
      </c>
      <c r="U61" s="140">
        <f>Model!I$47*MIN(1,(U$4-$I61&gt;=1)*INDEX(Model!$D$48:$O$48,1,MAX(1,U$4-$I61))*$H61)*$O61-IF(U$4-$I61&gt;=GoLiveQ,1,0)*(in_Platform*3+in_OngoingAnnual/4)-IF(U$4&lt;=in_Spread,$K61/in_Spread,0)</f>
        <v>35828.132</v>
      </c>
      <c r="V61" s="140">
        <f>Model!J$47*MIN(1,(V$4-$I61&gt;=1)*INDEX(Model!$D$48:$O$48,1,MAX(1,V$4-$I61))*$H61)*$O61-IF(V$4-$I61&gt;=GoLiveQ,1,0)*(in_Platform*3+in_OngoingAnnual/4)-IF(V$4&lt;=in_Spread,$K61/in_Spread,0)</f>
        <v>35828.132</v>
      </c>
      <c r="W61" s="140">
        <f>Model!K$47*MIN(1,(W$4-$I61&gt;=1)*INDEX(Model!$D$48:$O$48,1,MAX(1,W$4-$I61))*$H61)*$O61-IF(W$4-$I61&gt;=GoLiveQ,1,0)*(in_Platform*3+in_OngoingAnnual/4)-IF(W$4&lt;=in_Spread,$K61/in_Spread,0)</f>
        <v>35828.132</v>
      </c>
      <c r="X61" s="140">
        <f>Model!L$47*MIN(1,(X$4-$I61&gt;=1)*INDEX(Model!$D$48:$O$48,1,MAX(1,X$4-$I61))*$H61)*$O61-IF(X$4-$I61&gt;=GoLiveQ,1,0)*(in_Platform*3+in_OngoingAnnual/4)-IF(X$4&lt;=in_Spread,$K61/in_Spread,0)</f>
        <v>41160.9452</v>
      </c>
      <c r="Y61" s="140">
        <f>Model!M$47*MIN(1,(Y$4-$I61&gt;=1)*INDEX(Model!$D$48:$O$48,1,MAX(1,Y$4-$I61))*$H61)*$O61-IF(Y$4-$I61&gt;=GoLiveQ,1,0)*(in_Platform*3+in_OngoingAnnual/4)-IF(Y$4&lt;=in_Spread,$K61/in_Spread,0)</f>
        <v>41160.9452</v>
      </c>
      <c r="Z61" s="140">
        <f>Model!N$47*MIN(1,(Z$4-$I61&gt;=1)*INDEX(Model!$D$48:$O$48,1,MAX(1,Z$4-$I61))*$H61)*$O61-IF(Z$4-$I61&gt;=GoLiveQ,1,0)*(in_Platform*3+in_OngoingAnnual/4)-IF(Z$4&lt;=in_Spread,$K61/in_Spread,0)</f>
        <v>41160.9452</v>
      </c>
      <c r="AA61" s="140">
        <f>Model!O$47*MIN(1,(AA$4-$I61&gt;=1)*INDEX(Model!$D$48:$O$48,1,MAX(1,AA$4-$I61))*$H61)*$O61-IF(AA$4-$I61&gt;=GoLiveQ,1,0)*(in_Platform*3+in_OngoingAnnual/4)-IF(AA$4&lt;=in_Spread,$K61/in_Spread,0)</f>
        <v>41160.9452</v>
      </c>
      <c r="AB61" s="192">
        <f>SUMPRODUCT(P61:AA61,Model!$D$50:$O$50)</f>
        <v>133552.596682904</v>
      </c>
      <c r="AC61" s="140">
        <f>SUM(P61:AA61)</f>
        <v>187133.7948</v>
      </c>
    </row>
    <row r="62">
      <c r="B62" s="28" t="inlineStr">
        <is>
          <t>Human minutes per reviewed item, step 5</t>
        </is>
      </c>
      <c r="C62" s="76" t="inlineStr">
        <is>
          <t>One-way</t>
        </is>
      </c>
      <c r="D62" s="184">
        <f>Scenarios!$F$20</f>
        <v>0.92</v>
      </c>
      <c r="E62" s="184">
        <f>Scenarios!$F$21</f>
        <v>0.8</v>
      </c>
      <c r="F62" s="194">
        <f>Sensitivity!H19</f>
        <v>4</v>
      </c>
      <c r="G62" s="184">
        <f>Scenarios!$F$23</f>
        <v>0.7</v>
      </c>
      <c r="H62" s="137">
        <f>Scenarios!$F$24</f>
        <v>1</v>
      </c>
      <c r="I62" s="186">
        <f>Scenarios!$F$25</f>
        <v>0</v>
      </c>
      <c r="J62" s="187">
        <f>Scenarios!$F$26</f>
        <v>0.216</v>
      </c>
      <c r="K62" s="188">
        <f>Scenarios!$F$27</f>
        <v>130000</v>
      </c>
      <c r="L62" s="189">
        <f>in_MinsToday-(E62*in_ReviewRate*(F62+(1-D62)*in_CatchRate*in_FixMins)+(1-E62)*in_MinsToday)</f>
        <v>27.984</v>
      </c>
      <c r="M62" s="190">
        <f>IF(L62&gt;0,L62*G62,L62)/60*in_HourlyCost</f>
        <v>14.6916</v>
      </c>
      <c r="N62" s="190">
        <f>in_ErrRateToday*in_ErrCostToday-(E62*(1-D62)*(1-in_ReviewRate*in_CatchRate)*in_ErrCostAI+(1-E62)*in_ErrRateToday*in_ErrCostToday)</f>
        <v>4.32</v>
      </c>
      <c r="O62" s="191">
        <f>M62+N62-J62</f>
        <v>18.7956</v>
      </c>
      <c r="P62" s="140">
        <f>Model!D$47*MIN(1,(P$4-$I62&gt;=1)*INDEX(Model!$D$48:$O$48,1,MAX(1,P$4-$I62))*$H62)*$O62-IF(P$4-$I62&gt;=GoLiveQ,1,0)*(in_Platform*3+in_OngoingAnnual/4)-IF(P$4&lt;=in_Spread,$K62/in_Spread,0)</f>
        <v>-65000</v>
      </c>
      <c r="Q62" s="140">
        <f>Model!E$47*MIN(1,(Q$4-$I62&gt;=1)*INDEX(Model!$D$48:$O$48,1,MAX(1,Q$4-$I62))*$H62)*$O62-IF(Q$4-$I62&gt;=GoLiveQ,1,0)*(in_Platform*3+in_OngoingAnnual/4)-IF(Q$4&lt;=in_Spread,$K62/in_Spread,0)</f>
        <v>-76861.32</v>
      </c>
      <c r="R62" s="140">
        <f>Model!F$47*MIN(1,(R$4-$I62&gt;=1)*INDEX(Model!$D$48:$O$48,1,MAX(1,R$4-$I62))*$H62)*$O62-IF(R$4-$I62&gt;=GoLiveQ,1,0)*(in_Platform*3+in_OngoingAnnual/4)-IF(R$4&lt;=in_Spread,$K62/in_Spread,0)</f>
        <v>5054.72</v>
      </c>
      <c r="S62" s="140">
        <f>Model!G$47*MIN(1,(S$4-$I62&gt;=1)*INDEX(Model!$D$48:$O$48,1,MAX(1,S$4-$I62))*$H62)*$O62-IF(S$4-$I62&gt;=GoLiveQ,1,0)*(in_Platform*3+in_OngoingAnnual/4)-IF(S$4&lt;=in_Spread,$K62/in_Spread,0)</f>
        <v>21970.76</v>
      </c>
      <c r="T62" s="140">
        <f>Model!H$47*MIN(1,(T$4-$I62&gt;=1)*INDEX(Model!$D$48:$O$48,1,MAX(1,T$4-$I62))*$H62)*$O62-IF(T$4-$I62&gt;=GoLiveQ,1,0)*(in_Platform*3+in_OngoingAnnual/4)-IF(T$4&lt;=in_Spread,$K62/in_Spread,0)</f>
        <v>35221.658</v>
      </c>
      <c r="U62" s="140">
        <f>Model!I$47*MIN(1,(U$4-$I62&gt;=1)*INDEX(Model!$D$48:$O$48,1,MAX(1,U$4-$I62))*$H62)*$O62-IF(U$4-$I62&gt;=GoLiveQ,1,0)*(in_Platform*3+in_OngoingAnnual/4)-IF(U$4&lt;=in_Spread,$K62/in_Spread,0)</f>
        <v>38322.932</v>
      </c>
      <c r="V62" s="140">
        <f>Model!J$47*MIN(1,(V$4-$I62&gt;=1)*INDEX(Model!$D$48:$O$48,1,MAX(1,V$4-$I62))*$H62)*$O62-IF(V$4-$I62&gt;=GoLiveQ,1,0)*(in_Platform*3+in_OngoingAnnual/4)-IF(V$4&lt;=in_Spread,$K62/in_Spread,0)</f>
        <v>38322.932</v>
      </c>
      <c r="W62" s="140">
        <f>Model!K$47*MIN(1,(W$4-$I62&gt;=1)*INDEX(Model!$D$48:$O$48,1,MAX(1,W$4-$I62))*$H62)*$O62-IF(W$4-$I62&gt;=GoLiveQ,1,0)*(in_Platform*3+in_OngoingAnnual/4)-IF(W$4&lt;=in_Spread,$K62/in_Spread,0)</f>
        <v>38322.932</v>
      </c>
      <c r="X62" s="140">
        <f>Model!L$47*MIN(1,(X$4-$I62&gt;=1)*INDEX(Model!$D$48:$O$48,1,MAX(1,X$4-$I62))*$H62)*$O62-IF(X$4-$I62&gt;=GoLiveQ,1,0)*(in_Platform*3+in_OngoingAnnual/4)-IF(X$4&lt;=in_Spread,$K62/in_Spread,0)</f>
        <v>43905.2252</v>
      </c>
      <c r="Y62" s="140">
        <f>Model!M$47*MIN(1,(Y$4-$I62&gt;=1)*INDEX(Model!$D$48:$O$48,1,MAX(1,Y$4-$I62))*$H62)*$O62-IF(Y$4-$I62&gt;=GoLiveQ,1,0)*(in_Platform*3+in_OngoingAnnual/4)-IF(Y$4&lt;=in_Spread,$K62/in_Spread,0)</f>
        <v>43905.2252</v>
      </c>
      <c r="Z62" s="140">
        <f>Model!N$47*MIN(1,(Z$4-$I62&gt;=1)*INDEX(Model!$D$48:$O$48,1,MAX(1,Z$4-$I62))*$H62)*$O62-IF(Z$4-$I62&gt;=GoLiveQ,1,0)*(in_Platform*3+in_OngoingAnnual/4)-IF(Z$4&lt;=in_Spread,$K62/in_Spread,0)</f>
        <v>43905.2252</v>
      </c>
      <c r="AA62" s="140">
        <f>Model!O$47*MIN(1,(AA$4-$I62&gt;=1)*INDEX(Model!$D$48:$O$48,1,MAX(1,AA$4-$I62))*$H62)*$O62-IF(AA$4-$I62&gt;=GoLiveQ,1,0)*(in_Platform*3+in_OngoingAnnual/4)-IF(AA$4&lt;=in_Spread,$K62/in_Spread,0)</f>
        <v>43905.2252</v>
      </c>
      <c r="AB62" s="192">
        <f>SUMPRODUCT(P62:AA62,Model!$D$50:$O$50)</f>
        <v>153312.743815943</v>
      </c>
      <c r="AC62" s="140">
        <f>SUM(P62:AA62)</f>
        <v>210975.5148</v>
      </c>
    </row>
    <row r="63">
      <c r="B63" s="28" t="inlineStr">
        <is>
          <t>Adoption achieved vs plan, step 1</t>
        </is>
      </c>
      <c r="C63" s="76" t="inlineStr">
        <is>
          <t>One-way</t>
        </is>
      </c>
      <c r="D63" s="184">
        <f>Scenarios!$F$20</f>
        <v>0.92</v>
      </c>
      <c r="E63" s="184">
        <f>Scenarios!$F$21</f>
        <v>0.8</v>
      </c>
      <c r="F63" s="185">
        <f>Scenarios!$F$22</f>
        <v>8</v>
      </c>
      <c r="G63" s="184">
        <f>Scenarios!$F$23</f>
        <v>0.7</v>
      </c>
      <c r="H63" s="138">
        <f>Sensitivity!D21</f>
        <v>0.5</v>
      </c>
      <c r="I63" s="186">
        <f>Scenarios!$F$25</f>
        <v>0</v>
      </c>
      <c r="J63" s="187">
        <f>Scenarios!$F$26</f>
        <v>0.216</v>
      </c>
      <c r="K63" s="188">
        <f>Scenarios!$F$27</f>
        <v>130000</v>
      </c>
      <c r="L63" s="189">
        <f>in_MinsToday-(E63*in_ReviewRate*(F63+(1-D63)*in_CatchRate*in_FixMins)+(1-E63)*in_MinsToday)</f>
        <v>24.784</v>
      </c>
      <c r="M63" s="190">
        <f>IF(L63&gt;0,L63*G63,L63)/60*in_HourlyCost</f>
        <v>13.0116</v>
      </c>
      <c r="N63" s="190">
        <f>in_ErrRateToday*in_ErrCostToday-(E63*(1-D63)*(1-in_ReviewRate*in_CatchRate)*in_ErrCostAI+(1-E63)*in_ErrRateToday*in_ErrCostToday)</f>
        <v>4.32</v>
      </c>
      <c r="O63" s="191">
        <f>M63+N63-J63</f>
        <v>17.1156</v>
      </c>
      <c r="P63" s="140">
        <f>Model!D$47*MIN(1,(P$4-$I63&gt;=1)*INDEX(Model!$D$48:$O$48,1,MAX(1,P$4-$I63))*$H63)*$O63-IF(P$4-$I63&gt;=GoLiveQ,1,0)*(in_Platform*3+in_OngoingAnnual/4)-IF(P$4&lt;=in_Spread,$K63/in_Spread,0)</f>
        <v>-65000</v>
      </c>
      <c r="Q63" s="140">
        <f>Model!E$47*MIN(1,(Q$4-$I63&gt;=1)*INDEX(Model!$D$48:$O$48,1,MAX(1,Q$4-$I63))*$H63)*$O63-IF(Q$4-$I63&gt;=GoLiveQ,1,0)*(in_Platform*3+in_OngoingAnnual/4)-IF(Q$4&lt;=in_Spread,$K63/in_Spread,0)</f>
        <v>-79932.66</v>
      </c>
      <c r="R63" s="140">
        <f>Model!F$47*MIN(1,(R$4-$I63&gt;=1)*INDEX(Model!$D$48:$O$48,1,MAX(1,R$4-$I63))*$H63)*$O63-IF(R$4-$I63&gt;=GoLiveQ,1,0)*(in_Platform*3+in_OngoingAnnual/4)-IF(R$4&lt;=in_Spread,$K63/in_Spread,0)</f>
        <v>-7230.64</v>
      </c>
      <c r="S63" s="140">
        <f>Model!G$47*MIN(1,(S$4-$I63&gt;=1)*INDEX(Model!$D$48:$O$48,1,MAX(1,S$4-$I63))*$H63)*$O63-IF(S$4-$I63&gt;=GoLiveQ,1,0)*(in_Platform*3+in_OngoingAnnual/4)-IF(S$4&lt;=in_Spread,$K63/in_Spread,0)</f>
        <v>471.380000000001</v>
      </c>
      <c r="T63" s="140">
        <f>Model!H$47*MIN(1,(T$4-$I63&gt;=1)*INDEX(Model!$D$48:$O$48,1,MAX(1,T$4-$I63))*$H63)*$O63-IF(T$4-$I63&gt;=GoLiveQ,1,0)*(in_Platform*3+in_OngoingAnnual/4)-IF(T$4&lt;=in_Spread,$K63/in_Spread,0)</f>
        <v>6504.629</v>
      </c>
      <c r="U63" s="140">
        <f>Model!I$47*MIN(1,(U$4-$I63&gt;=1)*INDEX(Model!$D$48:$O$48,1,MAX(1,U$4-$I63))*$H63)*$O63-IF(U$4-$I63&gt;=GoLiveQ,1,0)*(in_Platform*3+in_OngoingAnnual/4)-IF(U$4&lt;=in_Spread,$K63/in_Spread,0)</f>
        <v>7916.66600000001</v>
      </c>
      <c r="V63" s="140">
        <f>Model!J$47*MIN(1,(V$4-$I63&gt;=1)*INDEX(Model!$D$48:$O$48,1,MAX(1,V$4-$I63))*$H63)*$O63-IF(V$4-$I63&gt;=GoLiveQ,1,0)*(in_Platform*3+in_OngoingAnnual/4)-IF(V$4&lt;=in_Spread,$K63/in_Spread,0)</f>
        <v>7916.66600000001</v>
      </c>
      <c r="W63" s="140">
        <f>Model!K$47*MIN(1,(W$4-$I63&gt;=1)*INDEX(Model!$D$48:$O$48,1,MAX(1,W$4-$I63))*$H63)*$O63-IF(W$4-$I63&gt;=GoLiveQ,1,0)*(in_Platform*3+in_OngoingAnnual/4)-IF(W$4&lt;=in_Spread,$K63/in_Spread,0)</f>
        <v>7916.66600000001</v>
      </c>
      <c r="X63" s="140">
        <f>Model!L$47*MIN(1,(X$4-$I63&gt;=1)*INDEX(Model!$D$48:$O$48,1,MAX(1,X$4-$I63))*$H63)*$O63-IF(X$4-$I63&gt;=GoLiveQ,1,0)*(in_Platform*3+in_OngoingAnnual/4)-IF(X$4&lt;=in_Spread,$K63/in_Spread,0)</f>
        <v>10458.3326</v>
      </c>
      <c r="Y63" s="140">
        <f>Model!M$47*MIN(1,(Y$4-$I63&gt;=1)*INDEX(Model!$D$48:$O$48,1,MAX(1,Y$4-$I63))*$H63)*$O63-IF(Y$4-$I63&gt;=GoLiveQ,1,0)*(in_Platform*3+in_OngoingAnnual/4)-IF(Y$4&lt;=in_Spread,$K63/in_Spread,0)</f>
        <v>10458.3326</v>
      </c>
      <c r="Z63" s="140">
        <f>Model!N$47*MIN(1,(Z$4-$I63&gt;=1)*INDEX(Model!$D$48:$O$48,1,MAX(1,Z$4-$I63))*$H63)*$O63-IF(Z$4-$I63&gt;=GoLiveQ,1,0)*(in_Platform*3+in_OngoingAnnual/4)-IF(Z$4&lt;=in_Spread,$K63/in_Spread,0)</f>
        <v>10458.3326</v>
      </c>
      <c r="AA63" s="140">
        <f>Model!O$47*MIN(1,(AA$4-$I63&gt;=1)*INDEX(Model!$D$48:$O$48,1,MAX(1,AA$4-$I63))*$H63)*$O63-IF(AA$4-$I63&gt;=GoLiveQ,1,0)*(in_Platform*3+in_OngoingAnnual/4)-IF(AA$4&lt;=in_Spread,$K63/in_Spread,0)</f>
        <v>10458.3326</v>
      </c>
      <c r="AB63" s="192">
        <f>SUMPRODUCT(P63:AA63,Model!$D$50:$O$50)</f>
        <v>-87521.1065633714</v>
      </c>
      <c r="AC63" s="140">
        <f>SUM(P63:AA63)</f>
        <v>-79603.9626</v>
      </c>
    </row>
    <row r="64">
      <c r="B64" s="28" t="inlineStr">
        <is>
          <t>Adoption achieved vs plan, step 2</t>
        </is>
      </c>
      <c r="C64" s="76" t="inlineStr">
        <is>
          <t>One-way</t>
        </is>
      </c>
      <c r="D64" s="184">
        <f>Scenarios!$F$20</f>
        <v>0.92</v>
      </c>
      <c r="E64" s="184">
        <f>Scenarios!$F$21</f>
        <v>0.8</v>
      </c>
      <c r="F64" s="185">
        <f>Scenarios!$F$22</f>
        <v>8</v>
      </c>
      <c r="G64" s="184">
        <f>Scenarios!$F$23</f>
        <v>0.7</v>
      </c>
      <c r="H64" s="138">
        <f>Sensitivity!E21</f>
        <v>0.75</v>
      </c>
      <c r="I64" s="186">
        <f>Scenarios!$F$25</f>
        <v>0</v>
      </c>
      <c r="J64" s="187">
        <f>Scenarios!$F$26</f>
        <v>0.216</v>
      </c>
      <c r="K64" s="188">
        <f>Scenarios!$F$27</f>
        <v>130000</v>
      </c>
      <c r="L64" s="189">
        <f>in_MinsToday-(E64*in_ReviewRate*(F64+(1-D64)*in_CatchRate*in_FixMins)+(1-E64)*in_MinsToday)</f>
        <v>24.784</v>
      </c>
      <c r="M64" s="190">
        <f>IF(L64&gt;0,L64*G64,L64)/60*in_HourlyCost</f>
        <v>13.0116</v>
      </c>
      <c r="N64" s="190">
        <f>in_ErrRateToday*in_ErrCostToday-(E64*(1-D64)*(1-in_ReviewRate*in_CatchRate)*in_ErrCostAI+(1-E64)*in_ErrRateToday*in_ErrCostToday)</f>
        <v>4.32</v>
      </c>
      <c r="O64" s="191">
        <f>M64+N64-J64</f>
        <v>17.1156</v>
      </c>
      <c r="P64" s="140">
        <f>Model!D$47*MIN(1,(P$4-$I64&gt;=1)*INDEX(Model!$D$48:$O$48,1,MAX(1,P$4-$I64))*$H64)*$O64-IF(P$4-$I64&gt;=GoLiveQ,1,0)*(in_Platform*3+in_OngoingAnnual/4)-IF(P$4&lt;=in_Spread,$K64/in_Spread,0)</f>
        <v>-65000</v>
      </c>
      <c r="Q64" s="140">
        <f>Model!E$47*MIN(1,(Q$4-$I64&gt;=1)*INDEX(Model!$D$48:$O$48,1,MAX(1,Q$4-$I64))*$H64)*$O64-IF(Q$4-$I64&gt;=GoLiveQ,1,0)*(in_Platform*3+in_OngoingAnnual/4)-IF(Q$4&lt;=in_Spread,$K64/in_Spread,0)</f>
        <v>-78648.99</v>
      </c>
      <c r="R64" s="140">
        <f>Model!F$47*MIN(1,(R$4-$I64&gt;=1)*INDEX(Model!$D$48:$O$48,1,MAX(1,R$4-$I64))*$H64)*$O64-IF(R$4-$I64&gt;=GoLiveQ,1,0)*(in_Platform*3+in_OngoingAnnual/4)-IF(R$4&lt;=in_Spread,$K64/in_Spread,0)</f>
        <v>-2095.96</v>
      </c>
      <c r="S64" s="140">
        <f>Model!G$47*MIN(1,(S$4-$I64&gt;=1)*INDEX(Model!$D$48:$O$48,1,MAX(1,S$4-$I64))*$H64)*$O64-IF(S$4-$I64&gt;=GoLiveQ,1,0)*(in_Platform*3+in_OngoingAnnual/4)-IF(S$4&lt;=in_Spread,$K64/in_Spread,0)</f>
        <v>9457.07</v>
      </c>
      <c r="T64" s="140">
        <f>Model!H$47*MIN(1,(T$4-$I64&gt;=1)*INDEX(Model!$D$48:$O$48,1,MAX(1,T$4-$I64))*$H64)*$O64-IF(T$4-$I64&gt;=GoLiveQ,1,0)*(in_Platform*3+in_OngoingAnnual/4)-IF(T$4&lt;=in_Spread,$K64/in_Spread,0)</f>
        <v>18506.9435</v>
      </c>
      <c r="U64" s="140">
        <f>Model!I$47*MIN(1,(U$4-$I64&gt;=1)*INDEX(Model!$D$48:$O$48,1,MAX(1,U$4-$I64))*$H64)*$O64-IF(U$4-$I64&gt;=GoLiveQ,1,0)*(in_Platform*3+in_OngoingAnnual/4)-IF(U$4&lt;=in_Spread,$K64/in_Spread,0)</f>
        <v>20624.999</v>
      </c>
      <c r="V64" s="140">
        <f>Model!J$47*MIN(1,(V$4-$I64&gt;=1)*INDEX(Model!$D$48:$O$48,1,MAX(1,V$4-$I64))*$H64)*$O64-IF(V$4-$I64&gt;=GoLiveQ,1,0)*(in_Platform*3+in_OngoingAnnual/4)-IF(V$4&lt;=in_Spread,$K64/in_Spread,0)</f>
        <v>20624.999</v>
      </c>
      <c r="W64" s="140">
        <f>Model!K$47*MIN(1,(W$4-$I64&gt;=1)*INDEX(Model!$D$48:$O$48,1,MAX(1,W$4-$I64))*$H64)*$O64-IF(W$4-$I64&gt;=GoLiveQ,1,0)*(in_Platform*3+in_OngoingAnnual/4)-IF(W$4&lt;=in_Spread,$K64/in_Spread,0)</f>
        <v>20624.999</v>
      </c>
      <c r="X64" s="140">
        <f>Model!L$47*MIN(1,(X$4-$I64&gt;=1)*INDEX(Model!$D$48:$O$48,1,MAX(1,X$4-$I64))*$H64)*$O64-IF(X$4-$I64&gt;=GoLiveQ,1,0)*(in_Platform*3+in_OngoingAnnual/4)-IF(X$4&lt;=in_Spread,$K64/in_Spread,0)</f>
        <v>24437.4989</v>
      </c>
      <c r="Y64" s="140">
        <f>Model!M$47*MIN(1,(Y$4-$I64&gt;=1)*INDEX(Model!$D$48:$O$48,1,MAX(1,Y$4-$I64))*$H64)*$O64-IF(Y$4-$I64&gt;=GoLiveQ,1,0)*(in_Platform*3+in_OngoingAnnual/4)-IF(Y$4&lt;=in_Spread,$K64/in_Spread,0)</f>
        <v>24437.4989</v>
      </c>
      <c r="Z64" s="140">
        <f>Model!N$47*MIN(1,(Z$4-$I64&gt;=1)*INDEX(Model!$D$48:$O$48,1,MAX(1,Z$4-$I64))*$H64)*$O64-IF(Z$4-$I64&gt;=GoLiveQ,1,0)*(in_Platform*3+in_OngoingAnnual/4)-IF(Z$4&lt;=in_Spread,$K64/in_Spread,0)</f>
        <v>24437.4989</v>
      </c>
      <c r="AA64" s="140">
        <f>Model!O$47*MIN(1,(AA$4-$I64&gt;=1)*INDEX(Model!$D$48:$O$48,1,MAX(1,AA$4-$I64))*$H64)*$O64-IF(AA$4-$I64&gt;=GoLiveQ,1,0)*(in_Platform*3+in_OngoingAnnual/4)-IF(AA$4&lt;=in_Spread,$K64/in_Spread,0)</f>
        <v>24437.4989</v>
      </c>
      <c r="AB64" s="192">
        <f>SUMPRODUCT(P64:AA64,Model!$D$50:$O$50)</f>
        <v>13135.6714932471</v>
      </c>
      <c r="AC64" s="140">
        <f>SUM(P64:AA64)</f>
        <v>41844.0561000001</v>
      </c>
    </row>
    <row r="65">
      <c r="B65" s="28" t="inlineStr">
        <is>
          <t>Adoption achieved vs plan, step 3</t>
        </is>
      </c>
      <c r="C65" s="76" t="inlineStr">
        <is>
          <t>One-way</t>
        </is>
      </c>
      <c r="D65" s="184">
        <f>Scenarios!$F$20</f>
        <v>0.92</v>
      </c>
      <c r="E65" s="184">
        <f>Scenarios!$F$21</f>
        <v>0.8</v>
      </c>
      <c r="F65" s="185">
        <f>Scenarios!$F$22</f>
        <v>8</v>
      </c>
      <c r="G65" s="184">
        <f>Scenarios!$F$23</f>
        <v>0.7</v>
      </c>
      <c r="H65" s="138">
        <f>Sensitivity!F21</f>
        <v>1</v>
      </c>
      <c r="I65" s="186">
        <f>Scenarios!$F$25</f>
        <v>0</v>
      </c>
      <c r="J65" s="187">
        <f>Scenarios!$F$26</f>
        <v>0.216</v>
      </c>
      <c r="K65" s="188">
        <f>Scenarios!$F$27</f>
        <v>130000</v>
      </c>
      <c r="L65" s="189">
        <f>in_MinsToday-(E65*in_ReviewRate*(F65+(1-D65)*in_CatchRate*in_FixMins)+(1-E65)*in_MinsToday)</f>
        <v>24.784</v>
      </c>
      <c r="M65" s="190">
        <f>IF(L65&gt;0,L65*G65,L65)/60*in_HourlyCost</f>
        <v>13.0116</v>
      </c>
      <c r="N65" s="190">
        <f>in_ErrRateToday*in_ErrCostToday-(E65*(1-D65)*(1-in_ReviewRate*in_CatchRate)*in_ErrCostAI+(1-E65)*in_ErrRateToday*in_ErrCostToday)</f>
        <v>4.32</v>
      </c>
      <c r="O65" s="191">
        <f>M65+N65-J65</f>
        <v>17.1156</v>
      </c>
      <c r="P65" s="140">
        <f>Model!D$47*MIN(1,(P$4-$I65&gt;=1)*INDEX(Model!$D$48:$O$48,1,MAX(1,P$4-$I65))*$H65)*$O65-IF(P$4-$I65&gt;=GoLiveQ,1,0)*(in_Platform*3+in_OngoingAnnual/4)-IF(P$4&lt;=in_Spread,$K65/in_Spread,0)</f>
        <v>-65000</v>
      </c>
      <c r="Q65" s="140">
        <f>Model!E$47*MIN(1,(Q$4-$I65&gt;=1)*INDEX(Model!$D$48:$O$48,1,MAX(1,Q$4-$I65))*$H65)*$O65-IF(Q$4-$I65&gt;=GoLiveQ,1,0)*(in_Platform*3+in_OngoingAnnual/4)-IF(Q$4&lt;=in_Spread,$K65/in_Spread,0)</f>
        <v>-77365.32</v>
      </c>
      <c r="R65" s="140">
        <f>Model!F$47*MIN(1,(R$4-$I65&gt;=1)*INDEX(Model!$D$48:$O$48,1,MAX(1,R$4-$I65))*$H65)*$O65-IF(R$4-$I65&gt;=GoLiveQ,1,0)*(in_Platform*3+in_OngoingAnnual/4)-IF(R$4&lt;=in_Spread,$K65/in_Spread,0)</f>
        <v>3038.72</v>
      </c>
      <c r="S65" s="140">
        <f>Model!G$47*MIN(1,(S$4-$I65&gt;=1)*INDEX(Model!$D$48:$O$48,1,MAX(1,S$4-$I65))*$H65)*$O65-IF(S$4-$I65&gt;=GoLiveQ,1,0)*(in_Platform*3+in_OngoingAnnual/4)-IF(S$4&lt;=in_Spread,$K65/in_Spread,0)</f>
        <v>18442.76</v>
      </c>
      <c r="T65" s="140">
        <f>Model!H$47*MIN(1,(T$4-$I65&gt;=1)*INDEX(Model!$D$48:$O$48,1,MAX(1,T$4-$I65))*$H65)*$O65-IF(T$4-$I65&gt;=GoLiveQ,1,0)*(in_Platform*3+in_OngoingAnnual/4)-IF(T$4&lt;=in_Spread,$K65/in_Spread,0)</f>
        <v>30509.258</v>
      </c>
      <c r="U65" s="140">
        <f>Model!I$47*MIN(1,(U$4-$I65&gt;=1)*INDEX(Model!$D$48:$O$48,1,MAX(1,U$4-$I65))*$H65)*$O65-IF(U$4-$I65&gt;=GoLiveQ,1,0)*(in_Platform*3+in_OngoingAnnual/4)-IF(U$4&lt;=in_Spread,$K65/in_Spread,0)</f>
        <v>33333.332</v>
      </c>
      <c r="V65" s="140">
        <f>Model!J$47*MIN(1,(V$4-$I65&gt;=1)*INDEX(Model!$D$48:$O$48,1,MAX(1,V$4-$I65))*$H65)*$O65-IF(V$4-$I65&gt;=GoLiveQ,1,0)*(in_Platform*3+in_OngoingAnnual/4)-IF(V$4&lt;=in_Spread,$K65/in_Spread,0)</f>
        <v>33333.332</v>
      </c>
      <c r="W65" s="140">
        <f>Model!K$47*MIN(1,(W$4-$I65&gt;=1)*INDEX(Model!$D$48:$O$48,1,MAX(1,W$4-$I65))*$H65)*$O65-IF(W$4-$I65&gt;=GoLiveQ,1,0)*(in_Platform*3+in_OngoingAnnual/4)-IF(W$4&lt;=in_Spread,$K65/in_Spread,0)</f>
        <v>33333.332</v>
      </c>
      <c r="X65" s="140">
        <f>Model!L$47*MIN(1,(X$4-$I65&gt;=1)*INDEX(Model!$D$48:$O$48,1,MAX(1,X$4-$I65))*$H65)*$O65-IF(X$4-$I65&gt;=GoLiveQ,1,0)*(in_Platform*3+in_OngoingAnnual/4)-IF(X$4&lt;=in_Spread,$K65/in_Spread,0)</f>
        <v>38416.6652</v>
      </c>
      <c r="Y65" s="140">
        <f>Model!M$47*MIN(1,(Y$4-$I65&gt;=1)*INDEX(Model!$D$48:$O$48,1,MAX(1,Y$4-$I65))*$H65)*$O65-IF(Y$4-$I65&gt;=GoLiveQ,1,0)*(in_Platform*3+in_OngoingAnnual/4)-IF(Y$4&lt;=in_Spread,$K65/in_Spread,0)</f>
        <v>38416.6652</v>
      </c>
      <c r="Z65" s="140">
        <f>Model!N$47*MIN(1,(Z$4-$I65&gt;=1)*INDEX(Model!$D$48:$O$48,1,MAX(1,Z$4-$I65))*$H65)*$O65-IF(Z$4-$I65&gt;=GoLiveQ,1,0)*(in_Platform*3+in_OngoingAnnual/4)-IF(Z$4&lt;=in_Spread,$K65/in_Spread,0)</f>
        <v>38416.6652</v>
      </c>
      <c r="AA65" s="140">
        <f>Model!O$47*MIN(1,(AA$4-$I65&gt;=1)*INDEX(Model!$D$48:$O$48,1,MAX(1,AA$4-$I65))*$H65)*$O65-IF(AA$4-$I65&gt;=GoLiveQ,1,0)*(in_Platform*3+in_OngoingAnnual/4)-IF(AA$4&lt;=in_Spread,$K65/in_Spread,0)</f>
        <v>38416.6652</v>
      </c>
      <c r="AB65" s="192">
        <f>SUMPRODUCT(P65:AA65,Model!$D$50:$O$50)</f>
        <v>113792.449549866</v>
      </c>
      <c r="AC65" s="140">
        <f>SUM(P65:AA65)</f>
        <v>163292.0748</v>
      </c>
    </row>
    <row r="66">
      <c r="B66" s="28" t="inlineStr">
        <is>
          <t>Adoption achieved vs plan, step 4</t>
        </is>
      </c>
      <c r="C66" s="76" t="inlineStr">
        <is>
          <t>One-way</t>
        </is>
      </c>
      <c r="D66" s="184">
        <f>Scenarios!$F$20</f>
        <v>0.92</v>
      </c>
      <c r="E66" s="184">
        <f>Scenarios!$F$21</f>
        <v>0.8</v>
      </c>
      <c r="F66" s="185">
        <f>Scenarios!$F$22</f>
        <v>8</v>
      </c>
      <c r="G66" s="184">
        <f>Scenarios!$F$23</f>
        <v>0.7</v>
      </c>
      <c r="H66" s="138">
        <f>Sensitivity!G21</f>
        <v>1.1</v>
      </c>
      <c r="I66" s="186">
        <f>Scenarios!$F$25</f>
        <v>0</v>
      </c>
      <c r="J66" s="187">
        <f>Scenarios!$F$26</f>
        <v>0.216</v>
      </c>
      <c r="K66" s="188">
        <f>Scenarios!$F$27</f>
        <v>130000</v>
      </c>
      <c r="L66" s="189">
        <f>in_MinsToday-(E66*in_ReviewRate*(F66+(1-D66)*in_CatchRate*in_FixMins)+(1-E66)*in_MinsToday)</f>
        <v>24.784</v>
      </c>
      <c r="M66" s="190">
        <f>IF(L66&gt;0,L66*G66,L66)/60*in_HourlyCost</f>
        <v>13.0116</v>
      </c>
      <c r="N66" s="190">
        <f>in_ErrRateToday*in_ErrCostToday-(E66*(1-D66)*(1-in_ReviewRate*in_CatchRate)*in_ErrCostAI+(1-E66)*in_ErrRateToday*in_ErrCostToday)</f>
        <v>4.32</v>
      </c>
      <c r="O66" s="191">
        <f>M66+N66-J66</f>
        <v>17.1156</v>
      </c>
      <c r="P66" s="140">
        <f>Model!D$47*MIN(1,(P$4-$I66&gt;=1)*INDEX(Model!$D$48:$O$48,1,MAX(1,P$4-$I66))*$H66)*$O66-IF(P$4-$I66&gt;=GoLiveQ,1,0)*(in_Platform*3+in_OngoingAnnual/4)-IF(P$4&lt;=in_Spread,$K66/in_Spread,0)</f>
        <v>-65000</v>
      </c>
      <c r="Q66" s="140">
        <f>Model!E$47*MIN(1,(Q$4-$I66&gt;=1)*INDEX(Model!$D$48:$O$48,1,MAX(1,Q$4-$I66))*$H66)*$O66-IF(Q$4-$I66&gt;=GoLiveQ,1,0)*(in_Platform*3+in_OngoingAnnual/4)-IF(Q$4&lt;=in_Spread,$K66/in_Spread,0)</f>
        <v>-76851.852</v>
      </c>
      <c r="R66" s="140">
        <f>Model!F$47*MIN(1,(R$4-$I66&gt;=1)*INDEX(Model!$D$48:$O$48,1,MAX(1,R$4-$I66))*$H66)*$O66-IF(R$4-$I66&gt;=GoLiveQ,1,0)*(in_Platform*3+in_OngoingAnnual/4)-IF(R$4&lt;=in_Spread,$K66/in_Spread,0)</f>
        <v>5092.592</v>
      </c>
      <c r="S66" s="140">
        <f>Model!G$47*MIN(1,(S$4-$I66&gt;=1)*INDEX(Model!$D$48:$O$48,1,MAX(1,S$4-$I66))*$H66)*$O66-IF(S$4-$I66&gt;=GoLiveQ,1,0)*(in_Platform*3+in_OngoingAnnual/4)-IF(S$4&lt;=in_Spread,$K66/in_Spread,0)</f>
        <v>22037.036</v>
      </c>
      <c r="T66" s="140">
        <f>Model!H$47*MIN(1,(T$4-$I66&gt;=1)*INDEX(Model!$D$48:$O$48,1,MAX(1,T$4-$I66))*$H66)*$O66-IF(T$4-$I66&gt;=GoLiveQ,1,0)*(in_Platform*3+in_OngoingAnnual/4)-IF(T$4&lt;=in_Spread,$K66/in_Spread,0)</f>
        <v>35310.1838</v>
      </c>
      <c r="U66" s="140">
        <f>Model!I$47*MIN(1,(U$4-$I66&gt;=1)*INDEX(Model!$D$48:$O$48,1,MAX(1,U$4-$I66))*$H66)*$O66-IF(U$4-$I66&gt;=GoLiveQ,1,0)*(in_Platform*3+in_OngoingAnnual/4)-IF(U$4&lt;=in_Spread,$K66/in_Spread,0)</f>
        <v>38416.6652</v>
      </c>
      <c r="V66" s="140">
        <f>Model!J$47*MIN(1,(V$4-$I66&gt;=1)*INDEX(Model!$D$48:$O$48,1,MAX(1,V$4-$I66))*$H66)*$O66-IF(V$4-$I66&gt;=GoLiveQ,1,0)*(in_Platform*3+in_OngoingAnnual/4)-IF(V$4&lt;=in_Spread,$K66/in_Spread,0)</f>
        <v>38416.6652</v>
      </c>
      <c r="W66" s="140">
        <f>Model!K$47*MIN(1,(W$4-$I66&gt;=1)*INDEX(Model!$D$48:$O$48,1,MAX(1,W$4-$I66))*$H66)*$O66-IF(W$4-$I66&gt;=GoLiveQ,1,0)*(in_Platform*3+in_OngoingAnnual/4)-IF(W$4&lt;=in_Spread,$K66/in_Spread,0)</f>
        <v>38416.6652</v>
      </c>
      <c r="X66" s="140">
        <f>Model!L$47*MIN(1,(X$4-$I66&gt;=1)*INDEX(Model!$D$48:$O$48,1,MAX(1,X$4-$I66))*$H66)*$O66-IF(X$4-$I66&gt;=GoLiveQ,1,0)*(in_Platform*3+in_OngoingAnnual/4)-IF(X$4&lt;=in_Spread,$K66/in_Spread,0)</f>
        <v>44008.33172</v>
      </c>
      <c r="Y66" s="140">
        <f>Model!M$47*MIN(1,(Y$4-$I66&gt;=1)*INDEX(Model!$D$48:$O$48,1,MAX(1,Y$4-$I66))*$H66)*$O66-IF(Y$4-$I66&gt;=GoLiveQ,1,0)*(in_Platform*3+in_OngoingAnnual/4)-IF(Y$4&lt;=in_Spread,$K66/in_Spread,0)</f>
        <v>44008.33172</v>
      </c>
      <c r="Z66" s="140">
        <f>Model!N$47*MIN(1,(Z$4-$I66&gt;=1)*INDEX(Model!$D$48:$O$48,1,MAX(1,Z$4-$I66))*$H66)*$O66-IF(Z$4-$I66&gt;=GoLiveQ,1,0)*(in_Platform*3+in_OngoingAnnual/4)-IF(Z$4&lt;=in_Spread,$K66/in_Spread,0)</f>
        <v>44008.33172</v>
      </c>
      <c r="AA66" s="140">
        <f>Model!O$47*MIN(1,(AA$4-$I66&gt;=1)*INDEX(Model!$D$48:$O$48,1,MAX(1,AA$4-$I66))*$H66)*$O66-IF(AA$4-$I66&gt;=GoLiveQ,1,0)*(in_Platform*3+in_OngoingAnnual/4)-IF(AA$4&lt;=in_Spread,$K66/in_Spread,0)</f>
        <v>44008.33172</v>
      </c>
      <c r="AB66" s="192">
        <f>SUMPRODUCT(P66:AA66,Model!$D$50:$O$50)</f>
        <v>154055.160772513</v>
      </c>
      <c r="AC66" s="140">
        <f>SUM(P66:AA66)</f>
        <v>211871.28228</v>
      </c>
    </row>
    <row r="67">
      <c r="B67" s="28" t="inlineStr">
        <is>
          <t>Adoption achieved vs plan, step 5</t>
        </is>
      </c>
      <c r="C67" s="76" t="inlineStr">
        <is>
          <t>One-way</t>
        </is>
      </c>
      <c r="D67" s="184">
        <f>Scenarios!$F$20</f>
        <v>0.92</v>
      </c>
      <c r="E67" s="184">
        <f>Scenarios!$F$21</f>
        <v>0.8</v>
      </c>
      <c r="F67" s="185">
        <f>Scenarios!$F$22</f>
        <v>8</v>
      </c>
      <c r="G67" s="184">
        <f>Scenarios!$F$23</f>
        <v>0.7</v>
      </c>
      <c r="H67" s="138">
        <f>Sensitivity!H21</f>
        <v>1.25</v>
      </c>
      <c r="I67" s="186">
        <f>Scenarios!$F$25</f>
        <v>0</v>
      </c>
      <c r="J67" s="187">
        <f>Scenarios!$F$26</f>
        <v>0.216</v>
      </c>
      <c r="K67" s="188">
        <f>Scenarios!$F$27</f>
        <v>130000</v>
      </c>
      <c r="L67" s="189">
        <f>in_MinsToday-(E67*in_ReviewRate*(F67+(1-D67)*in_CatchRate*in_FixMins)+(1-E67)*in_MinsToday)</f>
        <v>24.784</v>
      </c>
      <c r="M67" s="190">
        <f>IF(L67&gt;0,L67*G67,L67)/60*in_HourlyCost</f>
        <v>13.0116</v>
      </c>
      <c r="N67" s="190">
        <f>in_ErrRateToday*in_ErrCostToday-(E67*(1-D67)*(1-in_ReviewRate*in_CatchRate)*in_ErrCostAI+(1-E67)*in_ErrRateToday*in_ErrCostToday)</f>
        <v>4.32</v>
      </c>
      <c r="O67" s="191">
        <f>M67+N67-J67</f>
        <v>17.1156</v>
      </c>
      <c r="P67" s="140">
        <f>Model!D$47*MIN(1,(P$4-$I67&gt;=1)*INDEX(Model!$D$48:$O$48,1,MAX(1,P$4-$I67))*$H67)*$O67-IF(P$4-$I67&gt;=GoLiveQ,1,0)*(in_Platform*3+in_OngoingAnnual/4)-IF(P$4&lt;=in_Spread,$K67/in_Spread,0)</f>
        <v>-65000</v>
      </c>
      <c r="Q67" s="140">
        <f>Model!E$47*MIN(1,(Q$4-$I67&gt;=1)*INDEX(Model!$D$48:$O$48,1,MAX(1,Q$4-$I67))*$H67)*$O67-IF(Q$4-$I67&gt;=GoLiveQ,1,0)*(in_Platform*3+in_OngoingAnnual/4)-IF(Q$4&lt;=in_Spread,$K67/in_Spread,0)</f>
        <v>-76081.65</v>
      </c>
      <c r="R67" s="140">
        <f>Model!F$47*MIN(1,(R$4-$I67&gt;=1)*INDEX(Model!$D$48:$O$48,1,MAX(1,R$4-$I67))*$H67)*$O67-IF(R$4-$I67&gt;=GoLiveQ,1,0)*(in_Platform*3+in_OngoingAnnual/4)-IF(R$4&lt;=in_Spread,$K67/in_Spread,0)</f>
        <v>8173.4</v>
      </c>
      <c r="S67" s="140">
        <f>Model!G$47*MIN(1,(S$4-$I67&gt;=1)*INDEX(Model!$D$48:$O$48,1,MAX(1,S$4-$I67))*$H67)*$O67-IF(S$4-$I67&gt;=GoLiveQ,1,0)*(in_Platform*3+in_OngoingAnnual/4)-IF(S$4&lt;=in_Spread,$K67/in_Spread,0)</f>
        <v>27428.45</v>
      </c>
      <c r="T67" s="140">
        <f>Model!H$47*MIN(1,(T$4-$I67&gt;=1)*INDEX(Model!$D$48:$O$48,1,MAX(1,T$4-$I67))*$H67)*$O67-IF(T$4-$I67&gt;=GoLiveQ,1,0)*(in_Platform*3+in_OngoingAnnual/4)-IF(T$4&lt;=in_Spread,$K67/in_Spread,0)</f>
        <v>38981.48</v>
      </c>
      <c r="U67" s="140">
        <f>Model!I$47*MIN(1,(U$4-$I67&gt;=1)*INDEX(Model!$D$48:$O$48,1,MAX(1,U$4-$I67))*$H67)*$O67-IF(U$4-$I67&gt;=GoLiveQ,1,0)*(in_Platform*3+in_OngoingAnnual/4)-IF(U$4&lt;=in_Spread,$K67/in_Spread,0)</f>
        <v>38981.48</v>
      </c>
      <c r="V67" s="140">
        <f>Model!J$47*MIN(1,(V$4-$I67&gt;=1)*INDEX(Model!$D$48:$O$48,1,MAX(1,V$4-$I67))*$H67)*$O67-IF(V$4-$I67&gt;=GoLiveQ,1,0)*(in_Platform*3+in_OngoingAnnual/4)-IF(V$4&lt;=in_Spread,$K67/in_Spread,0)</f>
        <v>38981.48</v>
      </c>
      <c r="W67" s="140">
        <f>Model!K$47*MIN(1,(W$4-$I67&gt;=1)*INDEX(Model!$D$48:$O$48,1,MAX(1,W$4-$I67))*$H67)*$O67-IF(W$4-$I67&gt;=GoLiveQ,1,0)*(in_Platform*3+in_OngoingAnnual/4)-IF(W$4&lt;=in_Spread,$K67/in_Spread,0)</f>
        <v>38981.48</v>
      </c>
      <c r="X67" s="140">
        <f>Model!L$47*MIN(1,(X$4-$I67&gt;=1)*INDEX(Model!$D$48:$O$48,1,MAX(1,X$4-$I67))*$H67)*$O67-IF(X$4-$I67&gt;=GoLiveQ,1,0)*(in_Platform*3+in_OngoingAnnual/4)-IF(X$4&lt;=in_Spread,$K67/in_Spread,0)</f>
        <v>44629.628</v>
      </c>
      <c r="Y67" s="140">
        <f>Model!M$47*MIN(1,(Y$4-$I67&gt;=1)*INDEX(Model!$D$48:$O$48,1,MAX(1,Y$4-$I67))*$H67)*$O67-IF(Y$4-$I67&gt;=GoLiveQ,1,0)*(in_Platform*3+in_OngoingAnnual/4)-IF(Y$4&lt;=in_Spread,$K67/in_Spread,0)</f>
        <v>44629.628</v>
      </c>
      <c r="Z67" s="140">
        <f>Model!N$47*MIN(1,(Z$4-$I67&gt;=1)*INDEX(Model!$D$48:$O$48,1,MAX(1,Z$4-$I67))*$H67)*$O67-IF(Z$4-$I67&gt;=GoLiveQ,1,0)*(in_Platform*3+in_OngoingAnnual/4)-IF(Z$4&lt;=in_Spread,$K67/in_Spread,0)</f>
        <v>44629.628</v>
      </c>
      <c r="AA67" s="140">
        <f>Model!O$47*MIN(1,(AA$4-$I67&gt;=1)*INDEX(Model!$D$48:$O$48,1,MAX(1,AA$4-$I67))*$H67)*$O67-IF(AA$4-$I67&gt;=GoLiveQ,1,0)*(in_Platform*3+in_OngoingAnnual/4)-IF(AA$4&lt;=in_Spread,$K67/in_Spread,0)</f>
        <v>44629.628</v>
      </c>
      <c r="AB67" s="192">
        <f>SUMPRODUCT(P67:AA67,Model!$D$50:$O$50)</f>
        <v>169188.223506795</v>
      </c>
      <c r="AC67" s="140">
        <f>SUM(P67:AA67)</f>
        <v>228964.632</v>
      </c>
    </row>
    <row r="68">
      <c r="B68" s="28" t="inlineStr">
        <is>
          <t>Share of freed time that becomes real value, step 1</t>
        </is>
      </c>
      <c r="C68" s="76" t="inlineStr">
        <is>
          <t>One-way</t>
        </is>
      </c>
      <c r="D68" s="184">
        <f>Scenarios!$F$20</f>
        <v>0.92</v>
      </c>
      <c r="E68" s="184">
        <f>Scenarios!$F$21</f>
        <v>0.8</v>
      </c>
      <c r="F68" s="185">
        <f>Scenarios!$F$22</f>
        <v>8</v>
      </c>
      <c r="G68" s="193">
        <f>Sensitivity!D23</f>
        <v>0.4</v>
      </c>
      <c r="H68" s="137">
        <f>Scenarios!$F$24</f>
        <v>1</v>
      </c>
      <c r="I68" s="186">
        <f>Scenarios!$F$25</f>
        <v>0</v>
      </c>
      <c r="J68" s="187">
        <f>Scenarios!$F$26</f>
        <v>0.216</v>
      </c>
      <c r="K68" s="188">
        <f>Scenarios!$F$27</f>
        <v>130000</v>
      </c>
      <c r="L68" s="189">
        <f>in_MinsToday-(E68*in_ReviewRate*(F68+(1-D68)*in_CatchRate*in_FixMins)+(1-E68)*in_MinsToday)</f>
        <v>24.784</v>
      </c>
      <c r="M68" s="190">
        <f>IF(L68&gt;0,L68*G68,L68)/60*in_HourlyCost</f>
        <v>7.4352</v>
      </c>
      <c r="N68" s="190">
        <f>in_ErrRateToday*in_ErrCostToday-(E68*(1-D68)*(1-in_ReviewRate*in_CatchRate)*in_ErrCostAI+(1-E68)*in_ErrRateToday*in_ErrCostToday)</f>
        <v>4.32</v>
      </c>
      <c r="O68" s="191">
        <f>M68+N68-J68</f>
        <v>11.5392</v>
      </c>
      <c r="P68" s="140">
        <f>Model!D$47*MIN(1,(P$4-$I68&gt;=1)*INDEX(Model!$D$48:$O$48,1,MAX(1,P$4-$I68))*$H68)*$O68-IF(P$4-$I68&gt;=GoLiveQ,1,0)*(in_Platform*3+in_OngoingAnnual/4)-IF(P$4&lt;=in_Spread,$K68/in_Spread,0)</f>
        <v>-65000</v>
      </c>
      <c r="Q68" s="140">
        <f>Model!E$47*MIN(1,(Q$4-$I68&gt;=1)*INDEX(Model!$D$48:$O$48,1,MAX(1,Q$4-$I68))*$H68)*$O68-IF(Q$4-$I68&gt;=GoLiveQ,1,0)*(in_Platform*3+in_OngoingAnnual/4)-IF(Q$4&lt;=in_Spread,$K68/in_Spread,0)</f>
        <v>-79038.24</v>
      </c>
      <c r="R68" s="140">
        <f>Model!F$47*MIN(1,(R$4-$I68&gt;=1)*INDEX(Model!$D$48:$O$48,1,MAX(1,R$4-$I68))*$H68)*$O68-IF(R$4-$I68&gt;=GoLiveQ,1,0)*(in_Platform*3+in_OngoingAnnual/4)-IF(R$4&lt;=in_Spread,$K68/in_Spread,0)</f>
        <v>-3652.96</v>
      </c>
      <c r="S68" s="140">
        <f>Model!G$47*MIN(1,(S$4-$I68&gt;=1)*INDEX(Model!$D$48:$O$48,1,MAX(1,S$4-$I68))*$H68)*$O68-IF(S$4-$I68&gt;=GoLiveQ,1,0)*(in_Platform*3+in_OngoingAnnual/4)-IF(S$4&lt;=in_Spread,$K68/in_Spread,0)</f>
        <v>6732.32000000001</v>
      </c>
      <c r="T68" s="140">
        <f>Model!H$47*MIN(1,(T$4-$I68&gt;=1)*INDEX(Model!$D$48:$O$48,1,MAX(1,T$4-$I68))*$H68)*$O68-IF(T$4-$I68&gt;=GoLiveQ,1,0)*(in_Platform*3+in_OngoingAnnual/4)-IF(T$4&lt;=in_Spread,$K68/in_Spread,0)</f>
        <v>14867.456</v>
      </c>
      <c r="U68" s="140">
        <f>Model!I$47*MIN(1,(U$4-$I68&gt;=1)*INDEX(Model!$D$48:$O$48,1,MAX(1,U$4-$I68))*$H68)*$O68-IF(U$4-$I68&gt;=GoLiveQ,1,0)*(in_Platform*3+in_OngoingAnnual/4)-IF(U$4&lt;=in_Spread,$K68/in_Spread,0)</f>
        <v>16771.424</v>
      </c>
      <c r="V68" s="140">
        <f>Model!J$47*MIN(1,(V$4-$I68&gt;=1)*INDEX(Model!$D$48:$O$48,1,MAX(1,V$4-$I68))*$H68)*$O68-IF(V$4-$I68&gt;=GoLiveQ,1,0)*(in_Platform*3+in_OngoingAnnual/4)-IF(V$4&lt;=in_Spread,$K68/in_Spread,0)</f>
        <v>16771.424</v>
      </c>
      <c r="W68" s="140">
        <f>Model!K$47*MIN(1,(W$4-$I68&gt;=1)*INDEX(Model!$D$48:$O$48,1,MAX(1,W$4-$I68))*$H68)*$O68-IF(W$4-$I68&gt;=GoLiveQ,1,0)*(in_Platform*3+in_OngoingAnnual/4)-IF(W$4&lt;=in_Spread,$K68/in_Spread,0)</f>
        <v>16771.424</v>
      </c>
      <c r="X68" s="140">
        <f>Model!L$47*MIN(1,(X$4-$I68&gt;=1)*INDEX(Model!$D$48:$O$48,1,MAX(1,X$4-$I68))*$H68)*$O68-IF(X$4-$I68&gt;=GoLiveQ,1,0)*(in_Platform*3+in_OngoingAnnual/4)-IF(X$4&lt;=in_Spread,$K68/in_Spread,0)</f>
        <v>20198.5664</v>
      </c>
      <c r="Y68" s="140">
        <f>Model!M$47*MIN(1,(Y$4-$I68&gt;=1)*INDEX(Model!$D$48:$O$48,1,MAX(1,Y$4-$I68))*$H68)*$O68-IF(Y$4-$I68&gt;=GoLiveQ,1,0)*(in_Platform*3+in_OngoingAnnual/4)-IF(Y$4&lt;=in_Spread,$K68/in_Spread,0)</f>
        <v>20198.5664</v>
      </c>
      <c r="Z68" s="140">
        <f>Model!N$47*MIN(1,(Z$4-$I68&gt;=1)*INDEX(Model!$D$48:$O$48,1,MAX(1,Z$4-$I68))*$H68)*$O68-IF(Z$4-$I68&gt;=GoLiveQ,1,0)*(in_Platform*3+in_OngoingAnnual/4)-IF(Z$4&lt;=in_Spread,$K68/in_Spread,0)</f>
        <v>20198.5664</v>
      </c>
      <c r="AA68" s="140">
        <f>Model!O$47*MIN(1,(AA$4-$I68&gt;=1)*INDEX(Model!$D$48:$O$48,1,MAX(1,AA$4-$I68))*$H68)*$O68-IF(AA$4-$I68&gt;=GoLiveQ,1,0)*(in_Platform*3+in_OngoingAnnual/4)-IF(AA$4&lt;=in_Spread,$K68/in_Spread,0)</f>
        <v>20198.5664</v>
      </c>
      <c r="AB68" s="192">
        <f>SUMPRODUCT(P68:AA68,Model!$D$50:$O$50)</f>
        <v>-17386.6986318931</v>
      </c>
      <c r="AC68" s="140">
        <f>SUM(P68:AA68)</f>
        <v>5017.11360000013</v>
      </c>
    </row>
    <row r="69">
      <c r="B69" s="28" t="inlineStr">
        <is>
          <t>Share of freed time that becomes real value, step 2</t>
        </is>
      </c>
      <c r="C69" s="76" t="inlineStr">
        <is>
          <t>One-way</t>
        </is>
      </c>
      <c r="D69" s="184">
        <f>Scenarios!$F$20</f>
        <v>0.92</v>
      </c>
      <c r="E69" s="184">
        <f>Scenarios!$F$21</f>
        <v>0.8</v>
      </c>
      <c r="F69" s="185">
        <f>Scenarios!$F$22</f>
        <v>8</v>
      </c>
      <c r="G69" s="193">
        <f>Sensitivity!E23</f>
        <v>0.55</v>
      </c>
      <c r="H69" s="137">
        <f>Scenarios!$F$24</f>
        <v>1</v>
      </c>
      <c r="I69" s="186">
        <f>Scenarios!$F$25</f>
        <v>0</v>
      </c>
      <c r="J69" s="187">
        <f>Scenarios!$F$26</f>
        <v>0.216</v>
      </c>
      <c r="K69" s="188">
        <f>Scenarios!$F$27</f>
        <v>130000</v>
      </c>
      <c r="L69" s="189">
        <f>in_MinsToday-(E69*in_ReviewRate*(F69+(1-D69)*in_CatchRate*in_FixMins)+(1-E69)*in_MinsToday)</f>
        <v>24.784</v>
      </c>
      <c r="M69" s="190">
        <f>IF(L69&gt;0,L69*G69,L69)/60*in_HourlyCost</f>
        <v>10.2234</v>
      </c>
      <c r="N69" s="190">
        <f>in_ErrRateToday*in_ErrCostToday-(E69*(1-D69)*(1-in_ReviewRate*in_CatchRate)*in_ErrCostAI+(1-E69)*in_ErrRateToday*in_ErrCostToday)</f>
        <v>4.32</v>
      </c>
      <c r="O69" s="191">
        <f>M69+N69-J69</f>
        <v>14.3274</v>
      </c>
      <c r="P69" s="140">
        <f>Model!D$47*MIN(1,(P$4-$I69&gt;=1)*INDEX(Model!$D$48:$O$48,1,MAX(1,P$4-$I69))*$H69)*$O69-IF(P$4-$I69&gt;=GoLiveQ,1,0)*(in_Platform*3+in_OngoingAnnual/4)-IF(P$4&lt;=in_Spread,$K69/in_Spread,0)</f>
        <v>-65000</v>
      </c>
      <c r="Q69" s="140">
        <f>Model!E$47*MIN(1,(Q$4-$I69&gt;=1)*INDEX(Model!$D$48:$O$48,1,MAX(1,Q$4-$I69))*$H69)*$O69-IF(Q$4-$I69&gt;=GoLiveQ,1,0)*(in_Platform*3+in_OngoingAnnual/4)-IF(Q$4&lt;=in_Spread,$K69/in_Spread,0)</f>
        <v>-78201.78</v>
      </c>
      <c r="R69" s="140">
        <f>Model!F$47*MIN(1,(R$4-$I69&gt;=1)*INDEX(Model!$D$48:$O$48,1,MAX(1,R$4-$I69))*$H69)*$O69-IF(R$4-$I69&gt;=GoLiveQ,1,0)*(in_Platform*3+in_OngoingAnnual/4)-IF(R$4&lt;=in_Spread,$K69/in_Spread,0)</f>
        <v>-307.119999999995</v>
      </c>
      <c r="S69" s="140">
        <f>Model!G$47*MIN(1,(S$4-$I69&gt;=1)*INDEX(Model!$D$48:$O$48,1,MAX(1,S$4-$I69))*$H69)*$O69-IF(S$4-$I69&gt;=GoLiveQ,1,0)*(in_Platform*3+in_OngoingAnnual/4)-IF(S$4&lt;=in_Spread,$K69/in_Spread,0)</f>
        <v>12587.54</v>
      </c>
      <c r="T69" s="140">
        <f>Model!H$47*MIN(1,(T$4-$I69&gt;=1)*INDEX(Model!$D$48:$O$48,1,MAX(1,T$4-$I69))*$H69)*$O69-IF(T$4-$I69&gt;=GoLiveQ,1,0)*(in_Platform*3+in_OngoingAnnual/4)-IF(T$4&lt;=in_Spread,$K69/in_Spread,0)</f>
        <v>22688.357</v>
      </c>
      <c r="U69" s="140">
        <f>Model!I$47*MIN(1,(U$4-$I69&gt;=1)*INDEX(Model!$D$48:$O$48,1,MAX(1,U$4-$I69))*$H69)*$O69-IF(U$4-$I69&gt;=GoLiveQ,1,0)*(in_Platform*3+in_OngoingAnnual/4)-IF(U$4&lt;=in_Spread,$K69/in_Spread,0)</f>
        <v>25052.378</v>
      </c>
      <c r="V69" s="140">
        <f>Model!J$47*MIN(1,(V$4-$I69&gt;=1)*INDEX(Model!$D$48:$O$48,1,MAX(1,V$4-$I69))*$H69)*$O69-IF(V$4-$I69&gt;=GoLiveQ,1,0)*(in_Platform*3+in_OngoingAnnual/4)-IF(V$4&lt;=in_Spread,$K69/in_Spread,0)</f>
        <v>25052.378</v>
      </c>
      <c r="W69" s="140">
        <f>Model!K$47*MIN(1,(W$4-$I69&gt;=1)*INDEX(Model!$D$48:$O$48,1,MAX(1,W$4-$I69))*$H69)*$O69-IF(W$4-$I69&gt;=GoLiveQ,1,0)*(in_Platform*3+in_OngoingAnnual/4)-IF(W$4&lt;=in_Spread,$K69/in_Spread,0)</f>
        <v>25052.378</v>
      </c>
      <c r="X69" s="140">
        <f>Model!L$47*MIN(1,(X$4-$I69&gt;=1)*INDEX(Model!$D$48:$O$48,1,MAX(1,X$4-$I69))*$H69)*$O69-IF(X$4-$I69&gt;=GoLiveQ,1,0)*(in_Platform*3+in_OngoingAnnual/4)-IF(X$4&lt;=in_Spread,$K69/in_Spread,0)</f>
        <v>29307.6158</v>
      </c>
      <c r="Y69" s="140">
        <f>Model!M$47*MIN(1,(Y$4-$I69&gt;=1)*INDEX(Model!$D$48:$O$48,1,MAX(1,Y$4-$I69))*$H69)*$O69-IF(Y$4-$I69&gt;=GoLiveQ,1,0)*(in_Platform*3+in_OngoingAnnual/4)-IF(Y$4&lt;=in_Spread,$K69/in_Spread,0)</f>
        <v>29307.6158</v>
      </c>
      <c r="Z69" s="140">
        <f>Model!N$47*MIN(1,(Z$4-$I69&gt;=1)*INDEX(Model!$D$48:$O$48,1,MAX(1,Z$4-$I69))*$H69)*$O69-IF(Z$4-$I69&gt;=GoLiveQ,1,0)*(in_Platform*3+in_OngoingAnnual/4)-IF(Z$4&lt;=in_Spread,$K69/in_Spread,0)</f>
        <v>29307.6158</v>
      </c>
      <c r="AA69" s="140">
        <f>Model!O$47*MIN(1,(AA$4-$I69&gt;=1)*INDEX(Model!$D$48:$O$48,1,MAX(1,AA$4-$I69))*$H69)*$O69-IF(AA$4-$I69&gt;=GoLiveQ,1,0)*(in_Platform*3+in_OngoingAnnual/4)-IF(AA$4&lt;=in_Spread,$K69/in_Spread,0)</f>
        <v>29307.6158</v>
      </c>
      <c r="AB69" s="192">
        <f>SUMPRODUCT(P69:AA69,Model!$D$50:$O$50)</f>
        <v>48202.8754589863</v>
      </c>
      <c r="AC69" s="140">
        <f>SUM(P69:AA69)</f>
        <v>84154.5942000001</v>
      </c>
    </row>
    <row r="70">
      <c r="B70" s="28" t="inlineStr">
        <is>
          <t>Share of freed time that becomes real value, step 3</t>
        </is>
      </c>
      <c r="C70" s="76" t="inlineStr">
        <is>
          <t>One-way</t>
        </is>
      </c>
      <c r="D70" s="184">
        <f>Scenarios!$F$20</f>
        <v>0.92</v>
      </c>
      <c r="E70" s="184">
        <f>Scenarios!$F$21</f>
        <v>0.8</v>
      </c>
      <c r="F70" s="185">
        <f>Scenarios!$F$22</f>
        <v>8</v>
      </c>
      <c r="G70" s="193">
        <f>Sensitivity!F23</f>
        <v>0.7</v>
      </c>
      <c r="H70" s="137">
        <f>Scenarios!$F$24</f>
        <v>1</v>
      </c>
      <c r="I70" s="186">
        <f>Scenarios!$F$25</f>
        <v>0</v>
      </c>
      <c r="J70" s="187">
        <f>Scenarios!$F$26</f>
        <v>0.216</v>
      </c>
      <c r="K70" s="188">
        <f>Scenarios!$F$27</f>
        <v>130000</v>
      </c>
      <c r="L70" s="189">
        <f>in_MinsToday-(E70*in_ReviewRate*(F70+(1-D70)*in_CatchRate*in_FixMins)+(1-E70)*in_MinsToday)</f>
        <v>24.784</v>
      </c>
      <c r="M70" s="190">
        <f>IF(L70&gt;0,L70*G70,L70)/60*in_HourlyCost</f>
        <v>13.0116</v>
      </c>
      <c r="N70" s="190">
        <f>in_ErrRateToday*in_ErrCostToday-(E70*(1-D70)*(1-in_ReviewRate*in_CatchRate)*in_ErrCostAI+(1-E70)*in_ErrRateToday*in_ErrCostToday)</f>
        <v>4.32</v>
      </c>
      <c r="O70" s="191">
        <f>M70+N70-J70</f>
        <v>17.1156</v>
      </c>
      <c r="P70" s="140">
        <f>Model!D$47*MIN(1,(P$4-$I70&gt;=1)*INDEX(Model!$D$48:$O$48,1,MAX(1,P$4-$I70))*$H70)*$O70-IF(P$4-$I70&gt;=GoLiveQ,1,0)*(in_Platform*3+in_OngoingAnnual/4)-IF(P$4&lt;=in_Spread,$K70/in_Spread,0)</f>
        <v>-65000</v>
      </c>
      <c r="Q70" s="140">
        <f>Model!E$47*MIN(1,(Q$4-$I70&gt;=1)*INDEX(Model!$D$48:$O$48,1,MAX(1,Q$4-$I70))*$H70)*$O70-IF(Q$4-$I70&gt;=GoLiveQ,1,0)*(in_Platform*3+in_OngoingAnnual/4)-IF(Q$4&lt;=in_Spread,$K70/in_Spread,0)</f>
        <v>-77365.32</v>
      </c>
      <c r="R70" s="140">
        <f>Model!F$47*MIN(1,(R$4-$I70&gt;=1)*INDEX(Model!$D$48:$O$48,1,MAX(1,R$4-$I70))*$H70)*$O70-IF(R$4-$I70&gt;=GoLiveQ,1,0)*(in_Platform*3+in_OngoingAnnual/4)-IF(R$4&lt;=in_Spread,$K70/in_Spread,0)</f>
        <v>3038.72</v>
      </c>
      <c r="S70" s="140">
        <f>Model!G$47*MIN(1,(S$4-$I70&gt;=1)*INDEX(Model!$D$48:$O$48,1,MAX(1,S$4-$I70))*$H70)*$O70-IF(S$4-$I70&gt;=GoLiveQ,1,0)*(in_Platform*3+in_OngoingAnnual/4)-IF(S$4&lt;=in_Spread,$K70/in_Spread,0)</f>
        <v>18442.76</v>
      </c>
      <c r="T70" s="140">
        <f>Model!H$47*MIN(1,(T$4-$I70&gt;=1)*INDEX(Model!$D$48:$O$48,1,MAX(1,T$4-$I70))*$H70)*$O70-IF(T$4-$I70&gt;=GoLiveQ,1,0)*(in_Platform*3+in_OngoingAnnual/4)-IF(T$4&lt;=in_Spread,$K70/in_Spread,0)</f>
        <v>30509.258</v>
      </c>
      <c r="U70" s="140">
        <f>Model!I$47*MIN(1,(U$4-$I70&gt;=1)*INDEX(Model!$D$48:$O$48,1,MAX(1,U$4-$I70))*$H70)*$O70-IF(U$4-$I70&gt;=GoLiveQ,1,0)*(in_Platform*3+in_OngoingAnnual/4)-IF(U$4&lt;=in_Spread,$K70/in_Spread,0)</f>
        <v>33333.332</v>
      </c>
      <c r="V70" s="140">
        <f>Model!J$47*MIN(1,(V$4-$I70&gt;=1)*INDEX(Model!$D$48:$O$48,1,MAX(1,V$4-$I70))*$H70)*$O70-IF(V$4-$I70&gt;=GoLiveQ,1,0)*(in_Platform*3+in_OngoingAnnual/4)-IF(V$4&lt;=in_Spread,$K70/in_Spread,0)</f>
        <v>33333.332</v>
      </c>
      <c r="W70" s="140">
        <f>Model!K$47*MIN(1,(W$4-$I70&gt;=1)*INDEX(Model!$D$48:$O$48,1,MAX(1,W$4-$I70))*$H70)*$O70-IF(W$4-$I70&gt;=GoLiveQ,1,0)*(in_Platform*3+in_OngoingAnnual/4)-IF(W$4&lt;=in_Spread,$K70/in_Spread,0)</f>
        <v>33333.332</v>
      </c>
      <c r="X70" s="140">
        <f>Model!L$47*MIN(1,(X$4-$I70&gt;=1)*INDEX(Model!$D$48:$O$48,1,MAX(1,X$4-$I70))*$H70)*$O70-IF(X$4-$I70&gt;=GoLiveQ,1,0)*(in_Platform*3+in_OngoingAnnual/4)-IF(X$4&lt;=in_Spread,$K70/in_Spread,0)</f>
        <v>38416.6652</v>
      </c>
      <c r="Y70" s="140">
        <f>Model!M$47*MIN(1,(Y$4-$I70&gt;=1)*INDEX(Model!$D$48:$O$48,1,MAX(1,Y$4-$I70))*$H70)*$O70-IF(Y$4-$I70&gt;=GoLiveQ,1,0)*(in_Platform*3+in_OngoingAnnual/4)-IF(Y$4&lt;=in_Spread,$K70/in_Spread,0)</f>
        <v>38416.6652</v>
      </c>
      <c r="Z70" s="140">
        <f>Model!N$47*MIN(1,(Z$4-$I70&gt;=1)*INDEX(Model!$D$48:$O$48,1,MAX(1,Z$4-$I70))*$H70)*$O70-IF(Z$4-$I70&gt;=GoLiveQ,1,0)*(in_Platform*3+in_OngoingAnnual/4)-IF(Z$4&lt;=in_Spread,$K70/in_Spread,0)</f>
        <v>38416.6652</v>
      </c>
      <c r="AA70" s="140">
        <f>Model!O$47*MIN(1,(AA$4-$I70&gt;=1)*INDEX(Model!$D$48:$O$48,1,MAX(1,AA$4-$I70))*$H70)*$O70-IF(AA$4-$I70&gt;=GoLiveQ,1,0)*(in_Platform*3+in_OngoingAnnual/4)-IF(AA$4&lt;=in_Spread,$K70/in_Spread,0)</f>
        <v>38416.6652</v>
      </c>
      <c r="AB70" s="192">
        <f>SUMPRODUCT(P70:AA70,Model!$D$50:$O$50)</f>
        <v>113792.449549866</v>
      </c>
      <c r="AC70" s="140">
        <f>SUM(P70:AA70)</f>
        <v>163292.0748</v>
      </c>
    </row>
    <row r="71">
      <c r="B71" s="28" t="inlineStr">
        <is>
          <t>Share of freed time that becomes real value, step 4</t>
        </is>
      </c>
      <c r="C71" s="76" t="inlineStr">
        <is>
          <t>One-way</t>
        </is>
      </c>
      <c r="D71" s="184">
        <f>Scenarios!$F$20</f>
        <v>0.92</v>
      </c>
      <c r="E71" s="184">
        <f>Scenarios!$F$21</f>
        <v>0.8</v>
      </c>
      <c r="F71" s="185">
        <f>Scenarios!$F$22</f>
        <v>8</v>
      </c>
      <c r="G71" s="193">
        <f>Sensitivity!G23</f>
        <v>0.8</v>
      </c>
      <c r="H71" s="137">
        <f>Scenarios!$F$24</f>
        <v>1</v>
      </c>
      <c r="I71" s="186">
        <f>Scenarios!$F$25</f>
        <v>0</v>
      </c>
      <c r="J71" s="187">
        <f>Scenarios!$F$26</f>
        <v>0.216</v>
      </c>
      <c r="K71" s="188">
        <f>Scenarios!$F$27</f>
        <v>130000</v>
      </c>
      <c r="L71" s="189">
        <f>in_MinsToday-(E71*in_ReviewRate*(F71+(1-D71)*in_CatchRate*in_FixMins)+(1-E71)*in_MinsToday)</f>
        <v>24.784</v>
      </c>
      <c r="M71" s="190">
        <f>IF(L71&gt;0,L71*G71,L71)/60*in_HourlyCost</f>
        <v>14.8704</v>
      </c>
      <c r="N71" s="190">
        <f>in_ErrRateToday*in_ErrCostToday-(E71*(1-D71)*(1-in_ReviewRate*in_CatchRate)*in_ErrCostAI+(1-E71)*in_ErrRateToday*in_ErrCostToday)</f>
        <v>4.32</v>
      </c>
      <c r="O71" s="191">
        <f>M71+N71-J71</f>
        <v>18.9744</v>
      </c>
      <c r="P71" s="140">
        <f>Model!D$47*MIN(1,(P$4-$I71&gt;=1)*INDEX(Model!$D$48:$O$48,1,MAX(1,P$4-$I71))*$H71)*$O71-IF(P$4-$I71&gt;=GoLiveQ,1,0)*(in_Platform*3+in_OngoingAnnual/4)-IF(P$4&lt;=in_Spread,$K71/in_Spread,0)</f>
        <v>-65000</v>
      </c>
      <c r="Q71" s="140">
        <f>Model!E$47*MIN(1,(Q$4-$I71&gt;=1)*INDEX(Model!$D$48:$O$48,1,MAX(1,Q$4-$I71))*$H71)*$O71-IF(Q$4-$I71&gt;=GoLiveQ,1,0)*(in_Platform*3+in_OngoingAnnual/4)-IF(Q$4&lt;=in_Spread,$K71/in_Spread,0)</f>
        <v>-76807.68</v>
      </c>
      <c r="R71" s="140">
        <f>Model!F$47*MIN(1,(R$4-$I71&gt;=1)*INDEX(Model!$D$48:$O$48,1,MAX(1,R$4-$I71))*$H71)*$O71-IF(R$4-$I71&gt;=GoLiveQ,1,0)*(in_Platform*3+in_OngoingAnnual/4)-IF(R$4&lt;=in_Spread,$K71/in_Spread,0)</f>
        <v>5269.28</v>
      </c>
      <c r="S71" s="140">
        <f>Model!G$47*MIN(1,(S$4-$I71&gt;=1)*INDEX(Model!$D$48:$O$48,1,MAX(1,S$4-$I71))*$H71)*$O71-IF(S$4-$I71&gt;=GoLiveQ,1,0)*(in_Platform*3+in_OngoingAnnual/4)-IF(S$4&lt;=in_Spread,$K71/in_Spread,0)</f>
        <v>22346.24</v>
      </c>
      <c r="T71" s="140">
        <f>Model!H$47*MIN(1,(T$4-$I71&gt;=1)*INDEX(Model!$D$48:$O$48,1,MAX(1,T$4-$I71))*$H71)*$O71-IF(T$4-$I71&gt;=GoLiveQ,1,0)*(in_Platform*3+in_OngoingAnnual/4)-IF(T$4&lt;=in_Spread,$K71/in_Spread,0)</f>
        <v>35723.192</v>
      </c>
      <c r="U71" s="140">
        <f>Model!I$47*MIN(1,(U$4-$I71&gt;=1)*INDEX(Model!$D$48:$O$48,1,MAX(1,U$4-$I71))*$H71)*$O71-IF(U$4-$I71&gt;=GoLiveQ,1,0)*(in_Platform*3+in_OngoingAnnual/4)-IF(U$4&lt;=in_Spread,$K71/in_Spread,0)</f>
        <v>38853.968</v>
      </c>
      <c r="V71" s="140">
        <f>Model!J$47*MIN(1,(V$4-$I71&gt;=1)*INDEX(Model!$D$48:$O$48,1,MAX(1,V$4-$I71))*$H71)*$O71-IF(V$4-$I71&gt;=GoLiveQ,1,0)*(in_Platform*3+in_OngoingAnnual/4)-IF(V$4&lt;=in_Spread,$K71/in_Spread,0)</f>
        <v>38853.968</v>
      </c>
      <c r="W71" s="140">
        <f>Model!K$47*MIN(1,(W$4-$I71&gt;=1)*INDEX(Model!$D$48:$O$48,1,MAX(1,W$4-$I71))*$H71)*$O71-IF(W$4-$I71&gt;=GoLiveQ,1,0)*(in_Platform*3+in_OngoingAnnual/4)-IF(W$4&lt;=in_Spread,$K71/in_Spread,0)</f>
        <v>38853.968</v>
      </c>
      <c r="X71" s="140">
        <f>Model!L$47*MIN(1,(X$4-$I71&gt;=1)*INDEX(Model!$D$48:$O$48,1,MAX(1,X$4-$I71))*$H71)*$O71-IF(X$4-$I71&gt;=GoLiveQ,1,0)*(in_Platform*3+in_OngoingAnnual/4)-IF(X$4&lt;=in_Spread,$K71/in_Spread,0)</f>
        <v>44489.3648</v>
      </c>
      <c r="Y71" s="140">
        <f>Model!M$47*MIN(1,(Y$4-$I71&gt;=1)*INDEX(Model!$D$48:$O$48,1,MAX(1,Y$4-$I71))*$H71)*$O71-IF(Y$4-$I71&gt;=GoLiveQ,1,0)*(in_Platform*3+in_OngoingAnnual/4)-IF(Y$4&lt;=in_Spread,$K71/in_Spread,0)</f>
        <v>44489.3648</v>
      </c>
      <c r="Z71" s="140">
        <f>Model!N$47*MIN(1,(Z$4-$I71&gt;=1)*INDEX(Model!$D$48:$O$48,1,MAX(1,Z$4-$I71))*$H71)*$O71-IF(Z$4-$I71&gt;=GoLiveQ,1,0)*(in_Platform*3+in_OngoingAnnual/4)-IF(Z$4&lt;=in_Spread,$K71/in_Spread,0)</f>
        <v>44489.3648</v>
      </c>
      <c r="AA71" s="140">
        <f>Model!O$47*MIN(1,(AA$4-$I71&gt;=1)*INDEX(Model!$D$48:$O$48,1,MAX(1,AA$4-$I71))*$H71)*$O71-IF(AA$4-$I71&gt;=GoLiveQ,1,0)*(in_Platform*3+in_OngoingAnnual/4)-IF(AA$4&lt;=in_Spread,$K71/in_Spread,0)</f>
        <v>44489.3648</v>
      </c>
      <c r="AB71" s="192">
        <f>SUMPRODUCT(P71:AA71,Model!$D$50:$O$50)</f>
        <v>157518.832277119</v>
      </c>
      <c r="AC71" s="140">
        <f>SUM(P71:AA71)</f>
        <v>216050.3952</v>
      </c>
    </row>
    <row r="72">
      <c r="B72" s="28" t="inlineStr">
        <is>
          <t>Share of freed time that becomes real value, step 5</t>
        </is>
      </c>
      <c r="C72" s="76" t="inlineStr">
        <is>
          <t>One-way</t>
        </is>
      </c>
      <c r="D72" s="184">
        <f>Scenarios!$F$20</f>
        <v>0.92</v>
      </c>
      <c r="E72" s="184">
        <f>Scenarios!$F$21</f>
        <v>0.8</v>
      </c>
      <c r="F72" s="185">
        <f>Scenarios!$F$22</f>
        <v>8</v>
      </c>
      <c r="G72" s="193">
        <f>Sensitivity!H23</f>
        <v>0.9</v>
      </c>
      <c r="H72" s="137">
        <f>Scenarios!$F$24</f>
        <v>1</v>
      </c>
      <c r="I72" s="186">
        <f>Scenarios!$F$25</f>
        <v>0</v>
      </c>
      <c r="J72" s="187">
        <f>Scenarios!$F$26</f>
        <v>0.216</v>
      </c>
      <c r="K72" s="188">
        <f>Scenarios!$F$27</f>
        <v>130000</v>
      </c>
      <c r="L72" s="189">
        <f>in_MinsToday-(E72*in_ReviewRate*(F72+(1-D72)*in_CatchRate*in_FixMins)+(1-E72)*in_MinsToday)</f>
        <v>24.784</v>
      </c>
      <c r="M72" s="190">
        <f>IF(L72&gt;0,L72*G72,L72)/60*in_HourlyCost</f>
        <v>16.7292</v>
      </c>
      <c r="N72" s="190">
        <f>in_ErrRateToday*in_ErrCostToday-(E72*(1-D72)*(1-in_ReviewRate*in_CatchRate)*in_ErrCostAI+(1-E72)*in_ErrRateToday*in_ErrCostToday)</f>
        <v>4.32</v>
      </c>
      <c r="O72" s="191">
        <f>M72+N72-J72</f>
        <v>20.8332</v>
      </c>
      <c r="P72" s="140">
        <f>Model!D$47*MIN(1,(P$4-$I72&gt;=1)*INDEX(Model!$D$48:$O$48,1,MAX(1,P$4-$I72))*$H72)*$O72-IF(P$4-$I72&gt;=GoLiveQ,1,0)*(in_Platform*3+in_OngoingAnnual/4)-IF(P$4&lt;=in_Spread,$K72/in_Spread,0)</f>
        <v>-65000</v>
      </c>
      <c r="Q72" s="140">
        <f>Model!E$47*MIN(1,(Q$4-$I72&gt;=1)*INDEX(Model!$D$48:$O$48,1,MAX(1,Q$4-$I72))*$H72)*$O72-IF(Q$4-$I72&gt;=GoLiveQ,1,0)*(in_Platform*3+in_OngoingAnnual/4)-IF(Q$4&lt;=in_Spread,$K72/in_Spread,0)</f>
        <v>-76250.04</v>
      </c>
      <c r="R72" s="140">
        <f>Model!F$47*MIN(1,(R$4-$I72&gt;=1)*INDEX(Model!$D$48:$O$48,1,MAX(1,R$4-$I72))*$H72)*$O72-IF(R$4-$I72&gt;=GoLiveQ,1,0)*(in_Platform*3+in_OngoingAnnual/4)-IF(R$4&lt;=in_Spread,$K72/in_Spread,0)</f>
        <v>7499.84</v>
      </c>
      <c r="S72" s="140">
        <f>Model!G$47*MIN(1,(S$4-$I72&gt;=1)*INDEX(Model!$D$48:$O$48,1,MAX(1,S$4-$I72))*$H72)*$O72-IF(S$4-$I72&gt;=GoLiveQ,1,0)*(in_Platform*3+in_OngoingAnnual/4)-IF(S$4&lt;=in_Spread,$K72/in_Spread,0)</f>
        <v>26249.72</v>
      </c>
      <c r="T72" s="140">
        <f>Model!H$47*MIN(1,(T$4-$I72&gt;=1)*INDEX(Model!$D$48:$O$48,1,MAX(1,T$4-$I72))*$H72)*$O72-IF(T$4-$I72&gt;=GoLiveQ,1,0)*(in_Platform*3+in_OngoingAnnual/4)-IF(T$4&lt;=in_Spread,$K72/in_Spread,0)</f>
        <v>40937.126</v>
      </c>
      <c r="U72" s="140">
        <f>Model!I$47*MIN(1,(U$4-$I72&gt;=1)*INDEX(Model!$D$48:$O$48,1,MAX(1,U$4-$I72))*$H72)*$O72-IF(U$4-$I72&gt;=GoLiveQ,1,0)*(in_Platform*3+in_OngoingAnnual/4)-IF(U$4&lt;=in_Spread,$K72/in_Spread,0)</f>
        <v>44374.604</v>
      </c>
      <c r="V72" s="140">
        <f>Model!J$47*MIN(1,(V$4-$I72&gt;=1)*INDEX(Model!$D$48:$O$48,1,MAX(1,V$4-$I72))*$H72)*$O72-IF(V$4-$I72&gt;=GoLiveQ,1,0)*(in_Platform*3+in_OngoingAnnual/4)-IF(V$4&lt;=in_Spread,$K72/in_Spread,0)</f>
        <v>44374.604</v>
      </c>
      <c r="W72" s="140">
        <f>Model!K$47*MIN(1,(W$4-$I72&gt;=1)*INDEX(Model!$D$48:$O$48,1,MAX(1,W$4-$I72))*$H72)*$O72-IF(W$4-$I72&gt;=GoLiveQ,1,0)*(in_Platform*3+in_OngoingAnnual/4)-IF(W$4&lt;=in_Spread,$K72/in_Spread,0)</f>
        <v>44374.604</v>
      </c>
      <c r="X72" s="140">
        <f>Model!L$47*MIN(1,(X$4-$I72&gt;=1)*INDEX(Model!$D$48:$O$48,1,MAX(1,X$4-$I72))*$H72)*$O72-IF(X$4-$I72&gt;=GoLiveQ,1,0)*(in_Platform*3+in_OngoingAnnual/4)-IF(X$4&lt;=in_Spread,$K72/in_Spread,0)</f>
        <v>50562.0644</v>
      </c>
      <c r="Y72" s="140">
        <f>Model!M$47*MIN(1,(Y$4-$I72&gt;=1)*INDEX(Model!$D$48:$O$48,1,MAX(1,Y$4-$I72))*$H72)*$O72-IF(Y$4-$I72&gt;=GoLiveQ,1,0)*(in_Platform*3+in_OngoingAnnual/4)-IF(Y$4&lt;=in_Spread,$K72/in_Spread,0)</f>
        <v>50562.0644</v>
      </c>
      <c r="Z72" s="140">
        <f>Model!N$47*MIN(1,(Z$4-$I72&gt;=1)*INDEX(Model!$D$48:$O$48,1,MAX(1,Z$4-$I72))*$H72)*$O72-IF(Z$4-$I72&gt;=GoLiveQ,1,0)*(in_Platform*3+in_OngoingAnnual/4)-IF(Z$4&lt;=in_Spread,$K72/in_Spread,0)</f>
        <v>50562.0644</v>
      </c>
      <c r="AA72" s="140">
        <f>Model!O$47*MIN(1,(AA$4-$I72&gt;=1)*INDEX(Model!$D$48:$O$48,1,MAX(1,AA$4-$I72))*$H72)*$O72-IF(AA$4-$I72&gt;=GoLiveQ,1,0)*(in_Platform*3+in_OngoingAnnual/4)-IF(AA$4&lt;=in_Spread,$K72/in_Spread,0)</f>
        <v>50562.0644</v>
      </c>
      <c r="AB72" s="192">
        <f>SUMPRODUCT(P72:AA72,Model!$D$50:$O$50)</f>
        <v>201245.215004371</v>
      </c>
      <c r="AC72" s="140">
        <f>SUM(P72:AA72)</f>
        <v>268808.7156</v>
      </c>
    </row>
    <row r="73">
      <c r="B73" s="28" t="inlineStr">
        <is>
          <t>Run cost per item, step 1</t>
        </is>
      </c>
      <c r="C73" s="76" t="inlineStr">
        <is>
          <t>One-way</t>
        </is>
      </c>
      <c r="D73" s="184">
        <f>Scenarios!$F$20</f>
        <v>0.92</v>
      </c>
      <c r="E73" s="184">
        <f>Scenarios!$F$21</f>
        <v>0.8</v>
      </c>
      <c r="F73" s="185">
        <f>Scenarios!$F$22</f>
        <v>8</v>
      </c>
      <c r="G73" s="184">
        <f>Scenarios!$F$23</f>
        <v>0.7</v>
      </c>
      <c r="H73" s="137">
        <f>Scenarios!$F$24</f>
        <v>1</v>
      </c>
      <c r="I73" s="186">
        <f>Scenarios!$F$25</f>
        <v>0</v>
      </c>
      <c r="J73" s="190">
        <f>Sensitivity!D25</f>
        <v>1.08</v>
      </c>
      <c r="K73" s="188">
        <f>Scenarios!$F$27</f>
        <v>130000</v>
      </c>
      <c r="L73" s="189">
        <f>in_MinsToday-(E73*in_ReviewRate*(F73+(1-D73)*in_CatchRate*in_FixMins)+(1-E73)*in_MinsToday)</f>
        <v>24.784</v>
      </c>
      <c r="M73" s="190">
        <f>IF(L73&gt;0,L73*G73,L73)/60*in_HourlyCost</f>
        <v>13.0116</v>
      </c>
      <c r="N73" s="190">
        <f>in_ErrRateToday*in_ErrCostToday-(E73*(1-D73)*(1-in_ReviewRate*in_CatchRate)*in_ErrCostAI+(1-E73)*in_ErrRateToday*in_ErrCostToday)</f>
        <v>4.32</v>
      </c>
      <c r="O73" s="191">
        <f>M73+N73-J73</f>
        <v>16.2516</v>
      </c>
      <c r="P73" s="140">
        <f>Model!D$47*MIN(1,(P$4-$I73&gt;=1)*INDEX(Model!$D$48:$O$48,1,MAX(1,P$4-$I73))*$H73)*$O73-IF(P$4-$I73&gt;=GoLiveQ,1,0)*(in_Platform*3+in_OngoingAnnual/4)-IF(P$4&lt;=in_Spread,$K73/in_Spread,0)</f>
        <v>-65000</v>
      </c>
      <c r="Q73" s="140">
        <f>Model!E$47*MIN(1,(Q$4-$I73&gt;=1)*INDEX(Model!$D$48:$O$48,1,MAX(1,Q$4-$I73))*$H73)*$O73-IF(Q$4-$I73&gt;=GoLiveQ,1,0)*(in_Platform*3+in_OngoingAnnual/4)-IF(Q$4&lt;=in_Spread,$K73/in_Spread,0)</f>
        <v>-77624.52</v>
      </c>
      <c r="R73" s="140">
        <f>Model!F$47*MIN(1,(R$4-$I73&gt;=1)*INDEX(Model!$D$48:$O$48,1,MAX(1,R$4-$I73))*$H73)*$O73-IF(R$4-$I73&gt;=GoLiveQ,1,0)*(in_Platform*3+in_OngoingAnnual/4)-IF(R$4&lt;=in_Spread,$K73/in_Spread,0)</f>
        <v>2001.92000000001</v>
      </c>
      <c r="S73" s="140">
        <f>Model!G$47*MIN(1,(S$4-$I73&gt;=1)*INDEX(Model!$D$48:$O$48,1,MAX(1,S$4-$I73))*$H73)*$O73-IF(S$4-$I73&gt;=GoLiveQ,1,0)*(in_Platform*3+in_OngoingAnnual/4)-IF(S$4&lt;=in_Spread,$K73/in_Spread,0)</f>
        <v>16628.36</v>
      </c>
      <c r="T73" s="140">
        <f>Model!H$47*MIN(1,(T$4-$I73&gt;=1)*INDEX(Model!$D$48:$O$48,1,MAX(1,T$4-$I73))*$H73)*$O73-IF(T$4-$I73&gt;=GoLiveQ,1,0)*(in_Platform*3+in_OngoingAnnual/4)-IF(T$4&lt;=in_Spread,$K73/in_Spread,0)</f>
        <v>28085.738</v>
      </c>
      <c r="U73" s="140">
        <f>Model!I$47*MIN(1,(U$4-$I73&gt;=1)*INDEX(Model!$D$48:$O$48,1,MAX(1,U$4-$I73))*$H73)*$O73-IF(U$4-$I73&gt;=GoLiveQ,1,0)*(in_Platform*3+in_OngoingAnnual/4)-IF(U$4&lt;=in_Spread,$K73/in_Spread,0)</f>
        <v>30767.252</v>
      </c>
      <c r="V73" s="140">
        <f>Model!J$47*MIN(1,(V$4-$I73&gt;=1)*INDEX(Model!$D$48:$O$48,1,MAX(1,V$4-$I73))*$H73)*$O73-IF(V$4-$I73&gt;=GoLiveQ,1,0)*(in_Platform*3+in_OngoingAnnual/4)-IF(V$4&lt;=in_Spread,$K73/in_Spread,0)</f>
        <v>30767.252</v>
      </c>
      <c r="W73" s="140">
        <f>Model!K$47*MIN(1,(W$4-$I73&gt;=1)*INDEX(Model!$D$48:$O$48,1,MAX(1,W$4-$I73))*$H73)*$O73-IF(W$4-$I73&gt;=GoLiveQ,1,0)*(in_Platform*3+in_OngoingAnnual/4)-IF(W$4&lt;=in_Spread,$K73/in_Spread,0)</f>
        <v>30767.252</v>
      </c>
      <c r="X73" s="140">
        <f>Model!L$47*MIN(1,(X$4-$I73&gt;=1)*INDEX(Model!$D$48:$O$48,1,MAX(1,X$4-$I73))*$H73)*$O73-IF(X$4-$I73&gt;=GoLiveQ,1,0)*(in_Platform*3+in_OngoingAnnual/4)-IF(X$4&lt;=in_Spread,$K73/in_Spread,0)</f>
        <v>35593.9772</v>
      </c>
      <c r="Y73" s="140">
        <f>Model!M$47*MIN(1,(Y$4-$I73&gt;=1)*INDEX(Model!$D$48:$O$48,1,MAX(1,Y$4-$I73))*$H73)*$O73-IF(Y$4-$I73&gt;=GoLiveQ,1,0)*(in_Platform*3+in_OngoingAnnual/4)-IF(Y$4&lt;=in_Spread,$K73/in_Spread,0)</f>
        <v>35593.9772</v>
      </c>
      <c r="Z73" s="140">
        <f>Model!N$47*MIN(1,(Z$4-$I73&gt;=1)*INDEX(Model!$D$48:$O$48,1,MAX(1,Z$4-$I73))*$H73)*$O73-IF(Z$4-$I73&gt;=GoLiveQ,1,0)*(in_Platform*3+in_OngoingAnnual/4)-IF(Z$4&lt;=in_Spread,$K73/in_Spread,0)</f>
        <v>35593.9772</v>
      </c>
      <c r="AA73" s="140">
        <f>Model!O$47*MIN(1,(AA$4-$I73&gt;=1)*INDEX(Model!$D$48:$O$48,1,MAX(1,AA$4-$I73))*$H73)*$O73-IF(AA$4-$I73&gt;=GoLiveQ,1,0)*(in_Platform*3+in_OngoingAnnual/4)-IF(AA$4&lt;=in_Spread,$K73/in_Spread,0)</f>
        <v>35593.9772</v>
      </c>
      <c r="AB73" s="192">
        <f>SUMPRODUCT(P73:AA73,Model!$D$50:$O$50)</f>
        <v>93467.7267844544</v>
      </c>
      <c r="AC73" s="140">
        <f>SUM(P73:AA73)</f>
        <v>138769.1628</v>
      </c>
    </row>
    <row r="74">
      <c r="B74" s="28" t="inlineStr">
        <is>
          <t>Run cost per item, step 2</t>
        </is>
      </c>
      <c r="C74" s="76" t="inlineStr">
        <is>
          <t>One-way</t>
        </is>
      </c>
      <c r="D74" s="184">
        <f>Scenarios!$F$20</f>
        <v>0.92</v>
      </c>
      <c r="E74" s="184">
        <f>Scenarios!$F$21</f>
        <v>0.8</v>
      </c>
      <c r="F74" s="185">
        <f>Scenarios!$F$22</f>
        <v>8</v>
      </c>
      <c r="G74" s="184">
        <f>Scenarios!$F$23</f>
        <v>0.7</v>
      </c>
      <c r="H74" s="137">
        <f>Scenarios!$F$24</f>
        <v>1</v>
      </c>
      <c r="I74" s="186">
        <f>Scenarios!$F$25</f>
        <v>0</v>
      </c>
      <c r="J74" s="190">
        <f>Sensitivity!E25</f>
        <v>0.432</v>
      </c>
      <c r="K74" s="188">
        <f>Scenarios!$F$27</f>
        <v>130000</v>
      </c>
      <c r="L74" s="189">
        <f>in_MinsToday-(E74*in_ReviewRate*(F74+(1-D74)*in_CatchRate*in_FixMins)+(1-E74)*in_MinsToday)</f>
        <v>24.784</v>
      </c>
      <c r="M74" s="190">
        <f>IF(L74&gt;0,L74*G74,L74)/60*in_HourlyCost</f>
        <v>13.0116</v>
      </c>
      <c r="N74" s="190">
        <f>in_ErrRateToday*in_ErrCostToday-(E74*(1-D74)*(1-in_ReviewRate*in_CatchRate)*in_ErrCostAI+(1-E74)*in_ErrRateToday*in_ErrCostToday)</f>
        <v>4.32</v>
      </c>
      <c r="O74" s="191">
        <f>M74+N74-J74</f>
        <v>16.8996</v>
      </c>
      <c r="P74" s="140">
        <f>Model!D$47*MIN(1,(P$4-$I74&gt;=1)*INDEX(Model!$D$48:$O$48,1,MAX(1,P$4-$I74))*$H74)*$O74-IF(P$4-$I74&gt;=GoLiveQ,1,0)*(in_Platform*3+in_OngoingAnnual/4)-IF(P$4&lt;=in_Spread,$K74/in_Spread,0)</f>
        <v>-65000</v>
      </c>
      <c r="Q74" s="140">
        <f>Model!E$47*MIN(1,(Q$4-$I74&gt;=1)*INDEX(Model!$D$48:$O$48,1,MAX(1,Q$4-$I74))*$H74)*$O74-IF(Q$4-$I74&gt;=GoLiveQ,1,0)*(in_Platform*3+in_OngoingAnnual/4)-IF(Q$4&lt;=in_Spread,$K74/in_Spread,0)</f>
        <v>-77430.12</v>
      </c>
      <c r="R74" s="140">
        <f>Model!F$47*MIN(1,(R$4-$I74&gt;=1)*INDEX(Model!$D$48:$O$48,1,MAX(1,R$4-$I74))*$H74)*$O74-IF(R$4-$I74&gt;=GoLiveQ,1,0)*(in_Platform*3+in_OngoingAnnual/4)-IF(R$4&lt;=in_Spread,$K74/in_Spread,0)</f>
        <v>2779.52</v>
      </c>
      <c r="S74" s="140">
        <f>Model!G$47*MIN(1,(S$4-$I74&gt;=1)*INDEX(Model!$D$48:$O$48,1,MAX(1,S$4-$I74))*$H74)*$O74-IF(S$4-$I74&gt;=GoLiveQ,1,0)*(in_Platform*3+in_OngoingAnnual/4)-IF(S$4&lt;=in_Spread,$K74/in_Spread,0)</f>
        <v>17989.16</v>
      </c>
      <c r="T74" s="140">
        <f>Model!H$47*MIN(1,(T$4-$I74&gt;=1)*INDEX(Model!$D$48:$O$48,1,MAX(1,T$4-$I74))*$H74)*$O74-IF(T$4-$I74&gt;=GoLiveQ,1,0)*(in_Platform*3+in_OngoingAnnual/4)-IF(T$4&lt;=in_Spread,$K74/in_Spread,0)</f>
        <v>29903.378</v>
      </c>
      <c r="U74" s="140">
        <f>Model!I$47*MIN(1,(U$4-$I74&gt;=1)*INDEX(Model!$D$48:$O$48,1,MAX(1,U$4-$I74))*$H74)*$O74-IF(U$4-$I74&gt;=GoLiveQ,1,0)*(in_Platform*3+in_OngoingAnnual/4)-IF(U$4&lt;=in_Spread,$K74/in_Spread,0)</f>
        <v>32691.812</v>
      </c>
      <c r="V74" s="140">
        <f>Model!J$47*MIN(1,(V$4-$I74&gt;=1)*INDEX(Model!$D$48:$O$48,1,MAX(1,V$4-$I74))*$H74)*$O74-IF(V$4-$I74&gt;=GoLiveQ,1,0)*(in_Platform*3+in_OngoingAnnual/4)-IF(V$4&lt;=in_Spread,$K74/in_Spread,0)</f>
        <v>32691.812</v>
      </c>
      <c r="W74" s="140">
        <f>Model!K$47*MIN(1,(W$4-$I74&gt;=1)*INDEX(Model!$D$48:$O$48,1,MAX(1,W$4-$I74))*$H74)*$O74-IF(W$4-$I74&gt;=GoLiveQ,1,0)*(in_Platform*3+in_OngoingAnnual/4)-IF(W$4&lt;=in_Spread,$K74/in_Spread,0)</f>
        <v>32691.812</v>
      </c>
      <c r="X74" s="140">
        <f>Model!L$47*MIN(1,(X$4-$I74&gt;=1)*INDEX(Model!$D$48:$O$48,1,MAX(1,X$4-$I74))*$H74)*$O74-IF(X$4-$I74&gt;=GoLiveQ,1,0)*(in_Platform*3+in_OngoingAnnual/4)-IF(X$4&lt;=in_Spread,$K74/in_Spread,0)</f>
        <v>37710.9932</v>
      </c>
      <c r="Y74" s="140">
        <f>Model!M$47*MIN(1,(Y$4-$I74&gt;=1)*INDEX(Model!$D$48:$O$48,1,MAX(1,Y$4-$I74))*$H74)*$O74-IF(Y$4-$I74&gt;=GoLiveQ,1,0)*(in_Platform*3+in_OngoingAnnual/4)-IF(Y$4&lt;=in_Spread,$K74/in_Spread,0)</f>
        <v>37710.9932</v>
      </c>
      <c r="Z74" s="140">
        <f>Model!N$47*MIN(1,(Z$4-$I74&gt;=1)*INDEX(Model!$D$48:$O$48,1,MAX(1,Z$4-$I74))*$H74)*$O74-IF(Z$4-$I74&gt;=GoLiveQ,1,0)*(in_Platform*3+in_OngoingAnnual/4)-IF(Z$4&lt;=in_Spread,$K74/in_Spread,0)</f>
        <v>37710.9932</v>
      </c>
      <c r="AA74" s="140">
        <f>Model!O$47*MIN(1,(AA$4-$I74&gt;=1)*INDEX(Model!$D$48:$O$48,1,MAX(1,AA$4-$I74))*$H74)*$O74-IF(AA$4-$I74&gt;=GoLiveQ,1,0)*(in_Platform*3+in_OngoingAnnual/4)-IF(AA$4&lt;=in_Spread,$K74/in_Spread,0)</f>
        <v>37710.9932</v>
      </c>
      <c r="AB74" s="192">
        <f>SUMPRODUCT(P74:AA74,Model!$D$50:$O$50)</f>
        <v>108711.268858513</v>
      </c>
      <c r="AC74" s="140">
        <f>SUM(P74:AA74)</f>
        <v>157161.3468</v>
      </c>
    </row>
    <row r="75">
      <c r="B75" s="28" t="inlineStr">
        <is>
          <t>Run cost per item, step 3</t>
        </is>
      </c>
      <c r="C75" s="76" t="inlineStr">
        <is>
          <t>One-way</t>
        </is>
      </c>
      <c r="D75" s="184">
        <f>Scenarios!$F$20</f>
        <v>0.92</v>
      </c>
      <c r="E75" s="184">
        <f>Scenarios!$F$21</f>
        <v>0.8</v>
      </c>
      <c r="F75" s="185">
        <f>Scenarios!$F$22</f>
        <v>8</v>
      </c>
      <c r="G75" s="184">
        <f>Scenarios!$F$23</f>
        <v>0.7</v>
      </c>
      <c r="H75" s="137">
        <f>Scenarios!$F$24</f>
        <v>1</v>
      </c>
      <c r="I75" s="186">
        <f>Scenarios!$F$25</f>
        <v>0</v>
      </c>
      <c r="J75" s="190">
        <f>Sensitivity!F25</f>
        <v>0.216</v>
      </c>
      <c r="K75" s="188">
        <f>Scenarios!$F$27</f>
        <v>130000</v>
      </c>
      <c r="L75" s="189">
        <f>in_MinsToday-(E75*in_ReviewRate*(F75+(1-D75)*in_CatchRate*in_FixMins)+(1-E75)*in_MinsToday)</f>
        <v>24.784</v>
      </c>
      <c r="M75" s="190">
        <f>IF(L75&gt;0,L75*G75,L75)/60*in_HourlyCost</f>
        <v>13.0116</v>
      </c>
      <c r="N75" s="190">
        <f>in_ErrRateToday*in_ErrCostToday-(E75*(1-D75)*(1-in_ReviewRate*in_CatchRate)*in_ErrCostAI+(1-E75)*in_ErrRateToday*in_ErrCostToday)</f>
        <v>4.32</v>
      </c>
      <c r="O75" s="191">
        <f>M75+N75-J75</f>
        <v>17.1156</v>
      </c>
      <c r="P75" s="140">
        <f>Model!D$47*MIN(1,(P$4-$I75&gt;=1)*INDEX(Model!$D$48:$O$48,1,MAX(1,P$4-$I75))*$H75)*$O75-IF(P$4-$I75&gt;=GoLiveQ,1,0)*(in_Platform*3+in_OngoingAnnual/4)-IF(P$4&lt;=in_Spread,$K75/in_Spread,0)</f>
        <v>-65000</v>
      </c>
      <c r="Q75" s="140">
        <f>Model!E$47*MIN(1,(Q$4-$I75&gt;=1)*INDEX(Model!$D$48:$O$48,1,MAX(1,Q$4-$I75))*$H75)*$O75-IF(Q$4-$I75&gt;=GoLiveQ,1,0)*(in_Platform*3+in_OngoingAnnual/4)-IF(Q$4&lt;=in_Spread,$K75/in_Spread,0)</f>
        <v>-77365.32</v>
      </c>
      <c r="R75" s="140">
        <f>Model!F$47*MIN(1,(R$4-$I75&gt;=1)*INDEX(Model!$D$48:$O$48,1,MAX(1,R$4-$I75))*$H75)*$O75-IF(R$4-$I75&gt;=GoLiveQ,1,0)*(in_Platform*3+in_OngoingAnnual/4)-IF(R$4&lt;=in_Spread,$K75/in_Spread,0)</f>
        <v>3038.72</v>
      </c>
      <c r="S75" s="140">
        <f>Model!G$47*MIN(1,(S$4-$I75&gt;=1)*INDEX(Model!$D$48:$O$48,1,MAX(1,S$4-$I75))*$H75)*$O75-IF(S$4-$I75&gt;=GoLiveQ,1,0)*(in_Platform*3+in_OngoingAnnual/4)-IF(S$4&lt;=in_Spread,$K75/in_Spread,0)</f>
        <v>18442.76</v>
      </c>
      <c r="T75" s="140">
        <f>Model!H$47*MIN(1,(T$4-$I75&gt;=1)*INDEX(Model!$D$48:$O$48,1,MAX(1,T$4-$I75))*$H75)*$O75-IF(T$4-$I75&gt;=GoLiveQ,1,0)*(in_Platform*3+in_OngoingAnnual/4)-IF(T$4&lt;=in_Spread,$K75/in_Spread,0)</f>
        <v>30509.258</v>
      </c>
      <c r="U75" s="140">
        <f>Model!I$47*MIN(1,(U$4-$I75&gt;=1)*INDEX(Model!$D$48:$O$48,1,MAX(1,U$4-$I75))*$H75)*$O75-IF(U$4-$I75&gt;=GoLiveQ,1,0)*(in_Platform*3+in_OngoingAnnual/4)-IF(U$4&lt;=in_Spread,$K75/in_Spread,0)</f>
        <v>33333.332</v>
      </c>
      <c r="V75" s="140">
        <f>Model!J$47*MIN(1,(V$4-$I75&gt;=1)*INDEX(Model!$D$48:$O$48,1,MAX(1,V$4-$I75))*$H75)*$O75-IF(V$4-$I75&gt;=GoLiveQ,1,0)*(in_Platform*3+in_OngoingAnnual/4)-IF(V$4&lt;=in_Spread,$K75/in_Spread,0)</f>
        <v>33333.332</v>
      </c>
      <c r="W75" s="140">
        <f>Model!K$47*MIN(1,(W$4-$I75&gt;=1)*INDEX(Model!$D$48:$O$48,1,MAX(1,W$4-$I75))*$H75)*$O75-IF(W$4-$I75&gt;=GoLiveQ,1,0)*(in_Platform*3+in_OngoingAnnual/4)-IF(W$4&lt;=in_Spread,$K75/in_Spread,0)</f>
        <v>33333.332</v>
      </c>
      <c r="X75" s="140">
        <f>Model!L$47*MIN(1,(X$4-$I75&gt;=1)*INDEX(Model!$D$48:$O$48,1,MAX(1,X$4-$I75))*$H75)*$O75-IF(X$4-$I75&gt;=GoLiveQ,1,0)*(in_Platform*3+in_OngoingAnnual/4)-IF(X$4&lt;=in_Spread,$K75/in_Spread,0)</f>
        <v>38416.6652</v>
      </c>
      <c r="Y75" s="140">
        <f>Model!M$47*MIN(1,(Y$4-$I75&gt;=1)*INDEX(Model!$D$48:$O$48,1,MAX(1,Y$4-$I75))*$H75)*$O75-IF(Y$4-$I75&gt;=GoLiveQ,1,0)*(in_Platform*3+in_OngoingAnnual/4)-IF(Y$4&lt;=in_Spread,$K75/in_Spread,0)</f>
        <v>38416.6652</v>
      </c>
      <c r="Z75" s="140">
        <f>Model!N$47*MIN(1,(Z$4-$I75&gt;=1)*INDEX(Model!$D$48:$O$48,1,MAX(1,Z$4-$I75))*$H75)*$O75-IF(Z$4-$I75&gt;=GoLiveQ,1,0)*(in_Platform*3+in_OngoingAnnual/4)-IF(Z$4&lt;=in_Spread,$K75/in_Spread,0)</f>
        <v>38416.6652</v>
      </c>
      <c r="AA75" s="140">
        <f>Model!O$47*MIN(1,(AA$4-$I75&gt;=1)*INDEX(Model!$D$48:$O$48,1,MAX(1,AA$4-$I75))*$H75)*$O75-IF(AA$4-$I75&gt;=GoLiveQ,1,0)*(in_Platform*3+in_OngoingAnnual/4)-IF(AA$4&lt;=in_Spread,$K75/in_Spread,0)</f>
        <v>38416.6652</v>
      </c>
      <c r="AB75" s="192">
        <f>SUMPRODUCT(P75:AA75,Model!$D$50:$O$50)</f>
        <v>113792.449549866</v>
      </c>
      <c r="AC75" s="140">
        <f>SUM(P75:AA75)</f>
        <v>163292.0748</v>
      </c>
    </row>
    <row r="76">
      <c r="B76" s="28" t="inlineStr">
        <is>
          <t>Run cost per item, step 4</t>
        </is>
      </c>
      <c r="C76" s="76" t="inlineStr">
        <is>
          <t>One-way</t>
        </is>
      </c>
      <c r="D76" s="184">
        <f>Scenarios!$F$20</f>
        <v>0.92</v>
      </c>
      <c r="E76" s="184">
        <f>Scenarios!$F$21</f>
        <v>0.8</v>
      </c>
      <c r="F76" s="185">
        <f>Scenarios!$F$22</f>
        <v>8</v>
      </c>
      <c r="G76" s="184">
        <f>Scenarios!$F$23</f>
        <v>0.7</v>
      </c>
      <c r="H76" s="137">
        <f>Scenarios!$F$24</f>
        <v>1</v>
      </c>
      <c r="I76" s="186">
        <f>Scenarios!$F$25</f>
        <v>0</v>
      </c>
      <c r="J76" s="190">
        <f>Sensitivity!G25</f>
        <v>0.162</v>
      </c>
      <c r="K76" s="188">
        <f>Scenarios!$F$27</f>
        <v>130000</v>
      </c>
      <c r="L76" s="189">
        <f>in_MinsToday-(E76*in_ReviewRate*(F76+(1-D76)*in_CatchRate*in_FixMins)+(1-E76)*in_MinsToday)</f>
        <v>24.784</v>
      </c>
      <c r="M76" s="190">
        <f>IF(L76&gt;0,L76*G76,L76)/60*in_HourlyCost</f>
        <v>13.0116</v>
      </c>
      <c r="N76" s="190">
        <f>in_ErrRateToday*in_ErrCostToday-(E76*(1-D76)*(1-in_ReviewRate*in_CatchRate)*in_ErrCostAI+(1-E76)*in_ErrRateToday*in_ErrCostToday)</f>
        <v>4.32</v>
      </c>
      <c r="O76" s="191">
        <f>M76+N76-J76</f>
        <v>17.1696</v>
      </c>
      <c r="P76" s="140">
        <f>Model!D$47*MIN(1,(P$4-$I76&gt;=1)*INDEX(Model!$D$48:$O$48,1,MAX(1,P$4-$I76))*$H76)*$O76-IF(P$4-$I76&gt;=GoLiveQ,1,0)*(in_Platform*3+in_OngoingAnnual/4)-IF(P$4&lt;=in_Spread,$K76/in_Spread,0)</f>
        <v>-65000</v>
      </c>
      <c r="Q76" s="140">
        <f>Model!E$47*MIN(1,(Q$4-$I76&gt;=1)*INDEX(Model!$D$48:$O$48,1,MAX(1,Q$4-$I76))*$H76)*$O76-IF(Q$4-$I76&gt;=GoLiveQ,1,0)*(in_Platform*3+in_OngoingAnnual/4)-IF(Q$4&lt;=in_Spread,$K76/in_Spread,0)</f>
        <v>-77349.12</v>
      </c>
      <c r="R76" s="140">
        <f>Model!F$47*MIN(1,(R$4-$I76&gt;=1)*INDEX(Model!$D$48:$O$48,1,MAX(1,R$4-$I76))*$H76)*$O76-IF(R$4-$I76&gt;=GoLiveQ,1,0)*(in_Platform*3+in_OngoingAnnual/4)-IF(R$4&lt;=in_Spread,$K76/in_Spread,0)</f>
        <v>3103.52</v>
      </c>
      <c r="S76" s="140">
        <f>Model!G$47*MIN(1,(S$4-$I76&gt;=1)*INDEX(Model!$D$48:$O$48,1,MAX(1,S$4-$I76))*$H76)*$O76-IF(S$4-$I76&gt;=GoLiveQ,1,0)*(in_Platform*3+in_OngoingAnnual/4)-IF(S$4&lt;=in_Spread,$K76/in_Spread,0)</f>
        <v>18556.16</v>
      </c>
      <c r="T76" s="140">
        <f>Model!H$47*MIN(1,(T$4-$I76&gt;=1)*INDEX(Model!$D$48:$O$48,1,MAX(1,T$4-$I76))*$H76)*$O76-IF(T$4-$I76&gt;=GoLiveQ,1,0)*(in_Platform*3+in_OngoingAnnual/4)-IF(T$4&lt;=in_Spread,$K76/in_Spread,0)</f>
        <v>30660.728</v>
      </c>
      <c r="U76" s="140">
        <f>Model!I$47*MIN(1,(U$4-$I76&gt;=1)*INDEX(Model!$D$48:$O$48,1,MAX(1,U$4-$I76))*$H76)*$O76-IF(U$4-$I76&gt;=GoLiveQ,1,0)*(in_Platform*3+in_OngoingAnnual/4)-IF(U$4&lt;=in_Spread,$K76/in_Spread,0)</f>
        <v>33493.712</v>
      </c>
      <c r="V76" s="140">
        <f>Model!J$47*MIN(1,(V$4-$I76&gt;=1)*INDEX(Model!$D$48:$O$48,1,MAX(1,V$4-$I76))*$H76)*$O76-IF(V$4-$I76&gt;=GoLiveQ,1,0)*(in_Platform*3+in_OngoingAnnual/4)-IF(V$4&lt;=in_Spread,$K76/in_Spread,0)</f>
        <v>33493.712</v>
      </c>
      <c r="W76" s="140">
        <f>Model!K$47*MIN(1,(W$4-$I76&gt;=1)*INDEX(Model!$D$48:$O$48,1,MAX(1,W$4-$I76))*$H76)*$O76-IF(W$4-$I76&gt;=GoLiveQ,1,0)*(in_Platform*3+in_OngoingAnnual/4)-IF(W$4&lt;=in_Spread,$K76/in_Spread,0)</f>
        <v>33493.712</v>
      </c>
      <c r="X76" s="140">
        <f>Model!L$47*MIN(1,(X$4-$I76&gt;=1)*INDEX(Model!$D$48:$O$48,1,MAX(1,X$4-$I76))*$H76)*$O76-IF(X$4-$I76&gt;=GoLiveQ,1,0)*(in_Platform*3+in_OngoingAnnual/4)-IF(X$4&lt;=in_Spread,$K76/in_Spread,0)</f>
        <v>38593.0832</v>
      </c>
      <c r="Y76" s="140">
        <f>Model!M$47*MIN(1,(Y$4-$I76&gt;=1)*INDEX(Model!$D$48:$O$48,1,MAX(1,Y$4-$I76))*$H76)*$O76-IF(Y$4-$I76&gt;=GoLiveQ,1,0)*(in_Platform*3+in_OngoingAnnual/4)-IF(Y$4&lt;=in_Spread,$K76/in_Spread,0)</f>
        <v>38593.0832</v>
      </c>
      <c r="Z76" s="140">
        <f>Model!N$47*MIN(1,(Z$4-$I76&gt;=1)*INDEX(Model!$D$48:$O$48,1,MAX(1,Z$4-$I76))*$H76)*$O76-IF(Z$4-$I76&gt;=GoLiveQ,1,0)*(in_Platform*3+in_OngoingAnnual/4)-IF(Z$4&lt;=in_Spread,$K76/in_Spread,0)</f>
        <v>38593.0832</v>
      </c>
      <c r="AA76" s="140">
        <f>Model!O$47*MIN(1,(AA$4-$I76&gt;=1)*INDEX(Model!$D$48:$O$48,1,MAX(1,AA$4-$I76))*$H76)*$O76-IF(AA$4-$I76&gt;=GoLiveQ,1,0)*(in_Platform*3+in_OngoingAnnual/4)-IF(AA$4&lt;=in_Spread,$K76/in_Spread,0)</f>
        <v>38593.0832</v>
      </c>
      <c r="AB76" s="192">
        <f>SUMPRODUCT(P76:AA76,Model!$D$50:$O$50)</f>
        <v>115062.744722704</v>
      </c>
      <c r="AC76" s="140">
        <f>SUM(P76:AA76)</f>
        <v>164824.7568</v>
      </c>
    </row>
    <row r="77">
      <c r="B77" s="28" t="inlineStr">
        <is>
          <t>Run cost per item, step 5</t>
        </is>
      </c>
      <c r="C77" s="76" t="inlineStr">
        <is>
          <t>One-way</t>
        </is>
      </c>
      <c r="D77" s="184">
        <f>Scenarios!$F$20</f>
        <v>0.92</v>
      </c>
      <c r="E77" s="184">
        <f>Scenarios!$F$21</f>
        <v>0.8</v>
      </c>
      <c r="F77" s="185">
        <f>Scenarios!$F$22</f>
        <v>8</v>
      </c>
      <c r="G77" s="184">
        <f>Scenarios!$F$23</f>
        <v>0.7</v>
      </c>
      <c r="H77" s="137">
        <f>Scenarios!$F$24</f>
        <v>1</v>
      </c>
      <c r="I77" s="186">
        <f>Scenarios!$F$25</f>
        <v>0</v>
      </c>
      <c r="J77" s="190">
        <f>Sensitivity!H25</f>
        <v>0.108</v>
      </c>
      <c r="K77" s="188">
        <f>Scenarios!$F$27</f>
        <v>130000</v>
      </c>
      <c r="L77" s="189">
        <f>in_MinsToday-(E77*in_ReviewRate*(F77+(1-D77)*in_CatchRate*in_FixMins)+(1-E77)*in_MinsToday)</f>
        <v>24.784</v>
      </c>
      <c r="M77" s="190">
        <f>IF(L77&gt;0,L77*G77,L77)/60*in_HourlyCost</f>
        <v>13.0116</v>
      </c>
      <c r="N77" s="190">
        <f>in_ErrRateToday*in_ErrCostToday-(E77*(1-D77)*(1-in_ReviewRate*in_CatchRate)*in_ErrCostAI+(1-E77)*in_ErrRateToday*in_ErrCostToday)</f>
        <v>4.32</v>
      </c>
      <c r="O77" s="191">
        <f>M77+N77-J77</f>
        <v>17.2236</v>
      </c>
      <c r="P77" s="140">
        <f>Model!D$47*MIN(1,(P$4-$I77&gt;=1)*INDEX(Model!$D$48:$O$48,1,MAX(1,P$4-$I77))*$H77)*$O77-IF(P$4-$I77&gt;=GoLiveQ,1,0)*(in_Platform*3+in_OngoingAnnual/4)-IF(P$4&lt;=in_Spread,$K77/in_Spread,0)</f>
        <v>-65000</v>
      </c>
      <c r="Q77" s="140">
        <f>Model!E$47*MIN(1,(Q$4-$I77&gt;=1)*INDEX(Model!$D$48:$O$48,1,MAX(1,Q$4-$I77))*$H77)*$O77-IF(Q$4-$I77&gt;=GoLiveQ,1,0)*(in_Platform*3+in_OngoingAnnual/4)-IF(Q$4&lt;=in_Spread,$K77/in_Spread,0)</f>
        <v>-77332.92</v>
      </c>
      <c r="R77" s="140">
        <f>Model!F$47*MIN(1,(R$4-$I77&gt;=1)*INDEX(Model!$D$48:$O$48,1,MAX(1,R$4-$I77))*$H77)*$O77-IF(R$4-$I77&gt;=GoLiveQ,1,0)*(in_Platform*3+in_OngoingAnnual/4)-IF(R$4&lt;=in_Spread,$K77/in_Spread,0)</f>
        <v>3168.32</v>
      </c>
      <c r="S77" s="140">
        <f>Model!G$47*MIN(1,(S$4-$I77&gt;=1)*INDEX(Model!$D$48:$O$48,1,MAX(1,S$4-$I77))*$H77)*$O77-IF(S$4-$I77&gt;=GoLiveQ,1,0)*(in_Platform*3+in_OngoingAnnual/4)-IF(S$4&lt;=in_Spread,$K77/in_Spread,0)</f>
        <v>18669.56</v>
      </c>
      <c r="T77" s="140">
        <f>Model!H$47*MIN(1,(T$4-$I77&gt;=1)*INDEX(Model!$D$48:$O$48,1,MAX(1,T$4-$I77))*$H77)*$O77-IF(T$4-$I77&gt;=GoLiveQ,1,0)*(in_Platform*3+in_OngoingAnnual/4)-IF(T$4&lt;=in_Spread,$K77/in_Spread,0)</f>
        <v>30812.198</v>
      </c>
      <c r="U77" s="140">
        <f>Model!I$47*MIN(1,(U$4-$I77&gt;=1)*INDEX(Model!$D$48:$O$48,1,MAX(1,U$4-$I77))*$H77)*$O77-IF(U$4-$I77&gt;=GoLiveQ,1,0)*(in_Platform*3+in_OngoingAnnual/4)-IF(U$4&lt;=in_Spread,$K77/in_Spread,0)</f>
        <v>33654.092</v>
      </c>
      <c r="V77" s="140">
        <f>Model!J$47*MIN(1,(V$4-$I77&gt;=1)*INDEX(Model!$D$48:$O$48,1,MAX(1,V$4-$I77))*$H77)*$O77-IF(V$4-$I77&gt;=GoLiveQ,1,0)*(in_Platform*3+in_OngoingAnnual/4)-IF(V$4&lt;=in_Spread,$K77/in_Spread,0)</f>
        <v>33654.092</v>
      </c>
      <c r="W77" s="140">
        <f>Model!K$47*MIN(1,(W$4-$I77&gt;=1)*INDEX(Model!$D$48:$O$48,1,MAX(1,W$4-$I77))*$H77)*$O77-IF(W$4-$I77&gt;=GoLiveQ,1,0)*(in_Platform*3+in_OngoingAnnual/4)-IF(W$4&lt;=in_Spread,$K77/in_Spread,0)</f>
        <v>33654.092</v>
      </c>
      <c r="X77" s="140">
        <f>Model!L$47*MIN(1,(X$4-$I77&gt;=1)*INDEX(Model!$D$48:$O$48,1,MAX(1,X$4-$I77))*$H77)*$O77-IF(X$4-$I77&gt;=GoLiveQ,1,0)*(in_Platform*3+in_OngoingAnnual/4)-IF(X$4&lt;=in_Spread,$K77/in_Spread,0)</f>
        <v>38769.5012</v>
      </c>
      <c r="Y77" s="140">
        <f>Model!M$47*MIN(1,(Y$4-$I77&gt;=1)*INDEX(Model!$D$48:$O$48,1,MAX(1,Y$4-$I77))*$H77)*$O77-IF(Y$4-$I77&gt;=GoLiveQ,1,0)*(in_Platform*3+in_OngoingAnnual/4)-IF(Y$4&lt;=in_Spread,$K77/in_Spread,0)</f>
        <v>38769.5012</v>
      </c>
      <c r="Z77" s="140">
        <f>Model!N$47*MIN(1,(Z$4-$I77&gt;=1)*INDEX(Model!$D$48:$O$48,1,MAX(1,Z$4-$I77))*$H77)*$O77-IF(Z$4-$I77&gt;=GoLiveQ,1,0)*(in_Platform*3+in_OngoingAnnual/4)-IF(Z$4&lt;=in_Spread,$K77/in_Spread,0)</f>
        <v>38769.5012</v>
      </c>
      <c r="AA77" s="140">
        <f>Model!O$47*MIN(1,(AA$4-$I77&gt;=1)*INDEX(Model!$D$48:$O$48,1,MAX(1,AA$4-$I77))*$H77)*$O77-IF(AA$4-$I77&gt;=GoLiveQ,1,0)*(in_Platform*3+in_OngoingAnnual/4)-IF(AA$4&lt;=in_Spread,$K77/in_Spread,0)</f>
        <v>38769.5012</v>
      </c>
      <c r="AB77" s="192">
        <f>SUMPRODUCT(P77:AA77,Model!$D$50:$O$50)</f>
        <v>116333.039895542</v>
      </c>
      <c r="AC77" s="140">
        <f>SUM(P77:AA77)</f>
        <v>166357.4388</v>
      </c>
    </row>
    <row r="80">
      <c r="B80" s="8" t="inlineStr">
        <is>
          <t>Break-even solver: selected scenario (feeds the Sensitivity tab)</t>
        </is>
      </c>
      <c r="C80" s="2" t="n"/>
      <c r="D80" s="2" t="n"/>
      <c r="E80" s="2" t="n"/>
      <c r="F80" s="2" t="n"/>
      <c r="G80" s="2" t="n"/>
      <c r="H80" s="2" t="n"/>
      <c r="I80" s="2" t="n"/>
      <c r="J80" s="2" t="n"/>
      <c r="K80" s="2" t="n"/>
      <c r="L80" s="2" t="n"/>
      <c r="M80" s="2" t="n"/>
      <c r="N80" s="2" t="n"/>
      <c r="O80" s="2" t="n"/>
      <c r="P80" s="2" t="n"/>
      <c r="Q80" s="2" t="n"/>
      <c r="R80" s="2" t="n"/>
      <c r="S80" s="2" t="n"/>
      <c r="T80" s="2" t="n"/>
      <c r="U80" s="2" t="n"/>
      <c r="V80" s="2" t="n"/>
      <c r="W80" s="2" t="n"/>
      <c r="X80" s="2" t="n"/>
      <c r="Y80" s="2" t="n"/>
      <c r="Z80" s="2" t="n"/>
      <c r="AA80" s="2" t="n"/>
      <c r="AB80" s="2" t="n"/>
      <c r="AC80" s="2" t="n"/>
    </row>
    <row r="81" ht="28" customHeight="1">
      <c r="B81" s="25" t="inlineStr">
        <is>
          <t>Assumption</t>
        </is>
      </c>
      <c r="C81" s="26" t="inlineStr">
        <is>
          <t>Key</t>
        </is>
      </c>
      <c r="D81" s="26" t="inlineStr">
        <is>
          <t>Assumed</t>
        </is>
      </c>
      <c r="E81" s="26" t="inlineStr">
        <is>
          <t>Probe</t>
        </is>
      </c>
      <c r="F81" s="26" t="inlineStr">
        <is>
          <t>NPV assumed</t>
        </is>
      </c>
      <c r="G81" s="26" t="inlineStr">
        <is>
          <t>NPV probe</t>
        </is>
      </c>
      <c r="H81" s="26" t="inlineStr">
        <is>
          <t>Slope</t>
        </is>
      </c>
      <c r="I81" s="26" t="inlineStr">
        <is>
          <t>Raw break-even</t>
        </is>
      </c>
      <c r="J81" s="26" t="inlineStr">
        <is>
          <t>Lowest</t>
        </is>
      </c>
      <c r="K81" s="26" t="inlineStr">
        <is>
          <t>Highest</t>
        </is>
      </c>
      <c r="L81" s="26" t="inlineStr">
        <is>
          <t>Break-even</t>
        </is>
      </c>
      <c r="M81" s="26" t="inlineStr">
        <is>
          <t>NPV at break-even</t>
        </is>
      </c>
      <c r="N81" s="26" t="inlineStr">
        <is>
          <t>Check</t>
        </is>
      </c>
      <c r="O81" s="26" t="inlineStr">
        <is>
          <t>What has to be true</t>
        </is>
      </c>
    </row>
    <row r="82">
      <c r="B82" s="28" t="inlineStr">
        <is>
          <t>AI accuracy</t>
        </is>
      </c>
      <c r="C82" s="76" t="inlineStr">
        <is>
          <t>acc</t>
        </is>
      </c>
      <c r="D82" s="193">
        <f>D8</f>
        <v>0.92</v>
      </c>
      <c r="E82" s="193">
        <f>D9</f>
        <v>0.93</v>
      </c>
      <c r="F82" s="140">
        <f>AB8</f>
        <v>113792.449549866</v>
      </c>
      <c r="G82" s="140">
        <f>AB9</f>
        <v>123520.793415185</v>
      </c>
      <c r="H82" s="189">
        <f>IF(E82=D82,0,(G82-F82)/(E82-D82))</f>
        <v>972834.386531926</v>
      </c>
      <c r="I82" s="193">
        <f>IF(ABS(H82)&lt;0.000001,D82,D82-F82/H82)</f>
        <v>0.803029988325633</v>
      </c>
      <c r="J82" s="195">
        <f>0</f>
        <v>0</v>
      </c>
      <c r="K82" s="195">
        <f>1</f>
        <v>1</v>
      </c>
      <c r="L82" s="196">
        <f>IF(ABS(H82)&lt;0.000001,"No effect",IF(I82&lt;J82,IF(H82&gt;0,"Holds at any level","Not reachable"),IF(I82&gt;K82,IF(H82&gt;0,"Not reachable","Holds at any level"),I82)))</f>
        <v>0.803029988325633</v>
      </c>
      <c r="M82" s="140">
        <f>AB23</f>
        <v>1.65073288371786e-10</v>
      </c>
      <c r="N82" s="197" t="str">
        <f>IF(ISNUMBER(L82),IF(ABS(M82)&lt;1,"OK","Approximate"),"")</f>
        <v>OK</v>
      </c>
      <c r="O82" s="28" t="str">
        <f>IF(ISNUMBER(L82),IF(F82&gt;=0,"AI accuracy stays above "&amp;TEXT(L82,"0.0%")&amp;" (assumed "&amp;TEXT(D82,"0.0%")&amp;").","AI accuracy would need to reach "&amp;TEXT(L82,"0.0%")&amp;" (assumed "&amp;TEXT(D82,"0.0%")&amp;")."),IF(L82="Holds at any level","Accuracy alone can't break this case.",IF(L82="Not reachable","Even 100% accuracy wouldn't make the case break even.","This assumption doesn't move the answer.")))</f>
        <v>AI accuracy stays above 80.3% (assumed 92.0%).</v>
      </c>
    </row>
    <row r="83">
      <c r="B83" s="28" t="inlineStr">
        <is>
          <t>Share of items the AI handles</t>
        </is>
      </c>
      <c r="C83" s="76" t="inlineStr">
        <is>
          <t>h</t>
        </is>
      </c>
      <c r="D83" s="193">
        <f>E8</f>
        <v>0.8</v>
      </c>
      <c r="E83" s="193">
        <f>E10</f>
        <v>0.81</v>
      </c>
      <c r="F83" s="140">
        <f>AB8</f>
        <v>113792.449549866</v>
      </c>
      <c r="G83" s="140">
        <f>AB10</f>
        <v>118888.803211338</v>
      </c>
      <c r="H83" s="189">
        <f>IF(E83=D83,0,(G83-F83)/(E83-D83))</f>
        <v>509635.366147282</v>
      </c>
      <c r="I83" s="193">
        <f>IF(ABS(H83)&lt;0.000001,D83,D83-F83/H83)</f>
        <v>0.576717910277482</v>
      </c>
      <c r="J83" s="195">
        <f>0</f>
        <v>0</v>
      </c>
      <c r="K83" s="195">
        <f>1</f>
        <v>1</v>
      </c>
      <c r="L83" s="196">
        <f>IF(ABS(H83)&lt;0.000001,"No effect",IF(I83&lt;J83,IF(H83&gt;0,"Holds at any level","Not reachable"),IF(I83&gt;K83,IF(H83&gt;0,"Not reachable","Holds at any level"),I83)))</f>
        <v>0.576717910277482</v>
      </c>
      <c r="M83" s="140">
        <f>AB24</f>
        <v>-3.6652636481449e-10</v>
      </c>
      <c r="N83" s="197" t="str">
        <f>IF(ISNUMBER(L83),IF(ABS(M83)&lt;1,"OK","Approximate"),"")</f>
        <v>OK</v>
      </c>
      <c r="O83" s="28" t="str">
        <f>IF(ISNUMBER(L83),IF(F83&gt;=0,"The AI handles at least "&amp;TEXT(L83,"0.0%")&amp;" of items (assumed "&amp;TEXT(D83,"0.0%")&amp;").","The AI would need to handle "&amp;TEXT(L83,"0.0%")&amp;" of items (assumed "&amp;TEXT(D83,"0.0%")&amp;")."),IF(L83="Holds at any level","The share of items the AI handles can't break this case on its own.",IF(L83="Not reachable","Even if the AI handled every item, the case wouldn't break even.","This assumption doesn't move the answer.")))</f>
        <v>The AI handles at least 57.7% of items (assumed 80.0%).</v>
      </c>
    </row>
    <row r="84">
      <c r="B84" s="28" t="inlineStr">
        <is>
          <t>Human minutes per reviewed item</t>
        </is>
      </c>
      <c r="C84" s="76" t="inlineStr">
        <is>
          <t>m1</t>
        </is>
      </c>
      <c r="D84" s="194">
        <f>F8</f>
        <v>8</v>
      </c>
      <c r="E84" s="194">
        <f>F11</f>
        <v>9</v>
      </c>
      <c r="F84" s="140">
        <f>AB8</f>
        <v>113792.449549866</v>
      </c>
      <c r="G84" s="140">
        <f>AB11</f>
        <v>103912.375983346</v>
      </c>
      <c r="H84" s="189">
        <f>IF(E84=D84,0,(G84-F84)/(E84-D84))</f>
        <v>-9880.07356651934</v>
      </c>
      <c r="I84" s="194">
        <f>IF(ABS(H84)&lt;0.000001,D84,D84-F84/H84)</f>
        <v>19.5173686495083</v>
      </c>
      <c r="J84" s="151">
        <f>0</f>
        <v>0</v>
      </c>
      <c r="K84" s="151">
        <f>100000</f>
        <v>100000</v>
      </c>
      <c r="L84" s="198">
        <f>IF(ABS(H84)&lt;0.000001,"No effect",IF(I84&lt;J84,IF(H84&gt;0,"Holds at any level","Not reachable"),IF(I84&gt;K84,IF(H84&gt;0,"Not reachable","Holds at any level"),I84)))</f>
        <v>19.5173686495083</v>
      </c>
      <c r="M84" s="140">
        <f>AB25</f>
        <v>-3.6652636481449e-10</v>
      </c>
      <c r="N84" s="197" t="str">
        <f>IF(ISNUMBER(L84),IF(ABS(M84)&lt;1,"OK","Approximate"),"")</f>
        <v>OK</v>
      </c>
      <c r="O84" s="28" t="str">
        <f>IF(ISNUMBER(L84),IF(F84&gt;=0,"Review takes less than "&amp;TEXT(L84,"0.0")&amp;" minutes per "&amp;ItemWord&amp;" (assumed "&amp;TEXT(D84,"0.0")&amp;").","Review would need to take "&amp;TEXT(L84,"0.0")&amp;" minutes per "&amp;ItemWord&amp;" or less (assumed "&amp;TEXT(D84,"0.0")&amp;")."),IF(L84="Holds at any level","Review time alone can't break this case.",IF(L84="Not reachable","Even instant review wouldn't make the case break even.","This assumption doesn't move the answer.")))</f>
        <v>Review takes less than 19.5 minutes per application (assumed 8.0).</v>
      </c>
    </row>
    <row r="85">
      <c r="B85" s="28" t="inlineStr">
        <is>
          <t>Share of freed time that becomes real value</t>
        </is>
      </c>
      <c r="C85" s="76" t="inlineStr">
        <is>
          <t>rho</t>
        </is>
      </c>
      <c r="D85" s="193">
        <f>G8</f>
        <v>0.7</v>
      </c>
      <c r="E85" s="193">
        <f>G12</f>
        <v>0.71</v>
      </c>
      <c r="F85" s="140">
        <f>AB8</f>
        <v>113792.449549866</v>
      </c>
      <c r="G85" s="140">
        <f>AB12</f>
        <v>118165.087822591</v>
      </c>
      <c r="H85" s="189">
        <f>IF(E85=D85,0,(G85-F85)/(E85-D85))</f>
        <v>437263.827272532</v>
      </c>
      <c r="I85" s="193">
        <f>IF(ABS(H85)&lt;0.000001,D85,D85-F85/H85)</f>
        <v>0.439762490166051</v>
      </c>
      <c r="J85" s="195">
        <f>0</f>
        <v>0</v>
      </c>
      <c r="K85" s="195">
        <f>1</f>
        <v>1</v>
      </c>
      <c r="L85" s="196">
        <f>IF(ABS(H85)&lt;0.000001,"No effect",IF(I85&lt;J85,IF(H85&gt;0,"Holds at any level","Not reachable"),IF(I85&gt;K85,IF(H85&gt;0,"Not reachable","Holds at any level"),I85)))</f>
        <v>0.439762490166051</v>
      </c>
      <c r="M85" s="140">
        <f>AB26</f>
        <v>7.93079379945993e-10</v>
      </c>
      <c r="N85" s="197" t="str">
        <f>IF(ISNUMBER(L85),IF(ABS(M85)&lt;1,"OK","Approximate"),"")</f>
        <v>OK</v>
      </c>
      <c r="O85" s="28" t="str">
        <f>IF(ISNUMBER(L85),IF(F85&gt;=0,"At least "&amp;TEXT(L85,"0.0%")&amp;" of the freed time becomes real value (assumed "&amp;TEXT(D85,"0.0%")&amp;").",""&amp;TEXT(L85,"0.0%")&amp;" of the freed time would need to become real value (assumed "&amp;TEXT(D85,"0.0%")&amp;")."),IF(L85="Holds at any level","The case holds even if none of the freed time becomes value.",IF(L85="Not reachable","Even if every freed hour became value, the case wouldn't break even.","This assumption doesn't move the answer.")))</f>
        <v>At least 44.0% of the freed time becomes real value (assumed 70.0%).</v>
      </c>
    </row>
    <row r="86">
      <c r="B86" s="28" t="inlineStr">
        <is>
          <t>Adoption achieved vs plan</t>
        </is>
      </c>
      <c r="C86" s="76" t="inlineStr">
        <is>
          <t>am</t>
        </is>
      </c>
      <c r="D86" s="138">
        <f>H8</f>
        <v>1</v>
      </c>
      <c r="E86" s="138">
        <f>H13</f>
        <v>1.01</v>
      </c>
      <c r="F86" s="140">
        <f>AB8</f>
        <v>113792.449549866</v>
      </c>
      <c r="G86" s="140">
        <f>AB13</f>
        <v>117818.72067213</v>
      </c>
      <c r="H86" s="189">
        <f>IF(E86=D86,0,(G86-F86)/(E86-D86))</f>
        <v>402627.112226475</v>
      </c>
      <c r="I86" s="138">
        <f>IF(ABS(H86)&lt;0.000001,D86,D86-F86/H86)</f>
        <v>0.717375094487283</v>
      </c>
      <c r="J86" s="199">
        <f>0</f>
        <v>0</v>
      </c>
      <c r="K86" s="199">
        <f>IF(MAX(Model!$D$48:$O$48)&gt;0,1/MAX(Model!$D$48:$O$48),0)</f>
        <v>1.11111111111111</v>
      </c>
      <c r="L86" s="200">
        <f>IF(ABS(H86)&lt;0.000001,"No effect",IF(I86&lt;J86,IF(H86&gt;0,"Holds at any level","Not reachable"),IF(I86&gt;K86,IF(H86&gt;0,"Not reachable","Holds at any level"),I86)))</f>
        <v>0.717375094487283</v>
      </c>
      <c r="M86" s="140">
        <f>AB27</f>
        <v>1.97815097635612e-10</v>
      </c>
      <c r="N86" s="197" t="str">
        <f>IF(ISNUMBER(L86),IF(ABS(M86)&lt;1,"OK","Approximate"),"")</f>
        <v>OK</v>
      </c>
      <c r="O86" s="28" t="str">
        <f>IF(ISNUMBER(L86),IF(F86&gt;=0,"Adoption reaches at least "&amp;TEXT(L86,"0%")&amp;" of plan (assumed "&amp;TEXT(D86,"0%")&amp;").","Adoption would need to reach "&amp;TEXT(L86,"0%")&amp;" of plan (assumed "&amp;TEXT(D86,"0%")&amp;")."),IF(L86="Holds at any level","Adoption alone can't break this case.",IF(L86="Not reachable","Even full adoption wouldn't make the case break even.","This assumption doesn't move the answer.")))</f>
        <v>Adoption reaches at least 72% of plan (assumed 100%).</v>
      </c>
    </row>
    <row r="87">
      <c r="B87" s="28" t="inlineStr">
        <is>
          <t>Run cost per item</t>
        </is>
      </c>
      <c r="C87" s="76" t="inlineStr">
        <is>
          <t>run</t>
        </is>
      </c>
      <c r="D87" s="190">
        <f>J8</f>
        <v>0.216</v>
      </c>
      <c r="E87" s="190">
        <f>J14</f>
        <v>0.226</v>
      </c>
      <c r="F87" s="140">
        <f>AB8</f>
        <v>113792.449549866</v>
      </c>
      <c r="G87" s="140">
        <f>AB14</f>
        <v>113557.209703044</v>
      </c>
      <c r="H87" s="189">
        <f>IF(E87=D87,0,(G87-F87)/(E87-D87))</f>
        <v>-23523.9846821845</v>
      </c>
      <c r="I87" s="190">
        <f>IF(ABS(H87)&lt;0.000001,D87,D87-F87/H87)</f>
        <v>5.05329483279439</v>
      </c>
      <c r="J87" s="201">
        <f>0</f>
        <v>0</v>
      </c>
      <c r="K87" s="201">
        <f>1E+12</f>
        <v>1000000000000</v>
      </c>
      <c r="L87" s="202">
        <f>IF(ABS(H87)&lt;0.000001,"No effect",IF(I87&lt;J87,IF(H87&gt;0,"Holds at any level","Not reachable"),IF(I87&gt;K87,IF(H87&gt;0,"Not reachable","Holds at any level"),I87)))</f>
        <v>5.05329483279439</v>
      </c>
      <c r="M87" s="140">
        <f>AB28</f>
        <v>-2.17028173210565e-08</v>
      </c>
      <c r="N87" s="197" t="str">
        <f>IF(ISNUMBER(L87),IF(ABS(M87)&lt;1,"OK","Approximate"),"")</f>
        <v>OK</v>
      </c>
      <c r="O87" s="28" t="str">
        <f>IF(ISNUMBER(L87),IF(F87&gt;=0,"Run cost stays below "&amp;IF((L87)&lt;0,"-"&amp;in_Currency&amp;TEXT(-(L87),"#,##0.00"),in_Currency&amp;TEXT(L87,"#,##0.00"))&amp;" per "&amp;ItemWord&amp;" (assumed "&amp;IF((D87)&lt;0,"-"&amp;in_Currency&amp;TEXT(-(D87),"#,##0.00"),in_Currency&amp;TEXT(D87,"#,##0.00"))&amp;").","Run cost would need to fall to "&amp;IF((L87)&lt;0,"-"&amp;in_Currency&amp;TEXT(-(L87),"#,##0.00"),in_Currency&amp;TEXT(L87,"#,##0.00"))&amp;" per "&amp;ItemWord&amp;" (assumed "&amp;IF((D87)&lt;0,"-"&amp;in_Currency&amp;TEXT(-(D87),"#,##0.00"),in_Currency&amp;TEXT(D87,"#,##0.00"))&amp;")."),IF(L87="Holds at any level","Run cost alone can't break this case.",IF(L87="Not reachable","Even a free model wouldn't make the case break even.","This assumption doesn't move the answer.")))</f>
        <v>Run cost stays below £5.05 per application (assumed £0.22).</v>
      </c>
    </row>
    <row r="88">
      <c r="B88" s="28" t="inlineStr">
        <is>
          <t>One-off cost</t>
        </is>
      </c>
      <c r="C88" s="76" t="inlineStr">
        <is>
          <t>one</t>
        </is>
      </c>
      <c r="D88" s="140">
        <f>K8</f>
        <v>130000</v>
      </c>
      <c r="E88" s="140">
        <f>K15</f>
        <v>131000</v>
      </c>
      <c r="F88" s="140">
        <f>AB8</f>
        <v>113792.449549866</v>
      </c>
      <c r="G88" s="140">
        <f>AB15</f>
        <v>112827.491210405</v>
      </c>
      <c r="H88" s="189">
        <f>IF(E88=D88,0,(G88-F88)/(E88-D88))</f>
        <v>-0.964958339460965</v>
      </c>
      <c r="I88" s="140">
        <f>IF(ABS(H88)&lt;0.000001,D88,D88-F88/H88)</f>
        <v>247924.727831702</v>
      </c>
      <c r="J88" s="203">
        <f>0</f>
        <v>0</v>
      </c>
      <c r="K88" s="203">
        <f>1E+12</f>
        <v>1000000000000</v>
      </c>
      <c r="L88" s="192">
        <f>IF(ABS(H88)&lt;0.000001,"No effect",IF(I88&lt;J88,IF(H88&gt;0,"Holds at any level","Not reachable"),IF(I88&gt;K88,IF(H88&gt;0,"Not reachable","Holds at any level"),I88)))</f>
        <v>247924.727831702</v>
      </c>
      <c r="M88" s="140">
        <f>AB29</f>
        <v>1.64072844199836e-09</v>
      </c>
      <c r="N88" s="197" t="str">
        <f>IF(ISNUMBER(L88),IF(ABS(M88)&lt;1,"OK","Approximate"),"")</f>
        <v>OK</v>
      </c>
      <c r="O88" s="28" t="str">
        <f>IF(ISNUMBER(L88),IF(F88&gt;=0,"One-off costs stay below "&amp;IF((L88)&lt;0,"-"&amp;in_Currency&amp;TEXT(-(L88),"#,##0"),in_Currency&amp;TEXT(L88,"#,##0"))&amp;" (assumed "&amp;IF((D88)&lt;0,"-"&amp;in_Currency&amp;TEXT(-(D88),"#,##0"),in_Currency&amp;TEXT(D88,"#,##0"))&amp;").","One-off costs would need to fall to "&amp;IF((L88)&lt;0,"-"&amp;in_Currency&amp;TEXT(-(L88),"#,##0"),in_Currency&amp;TEXT(L88,"#,##0"))&amp;" (assumed "&amp;IF((D88)&lt;0,"-"&amp;in_Currency&amp;TEXT(-(D88),"#,##0"),in_Currency&amp;TEXT(D88,"#,##0"))&amp;")."),IF(L88="Holds at any level","One-off costs alone can't break this case.",IF(L88="Not reachable","Even with no one-off cost, the case wouldn't break even.","This assumption doesn't move the answer.")))</f>
        <v>One-off costs stay below £247,925 (assumed £130,000).</v>
      </c>
    </row>
    <row r="90">
      <c r="B90" s="8" t="inlineStr">
        <is>
          <t>Break-even solver: Base case (feeds the Board summary)</t>
        </is>
      </c>
      <c r="C90" s="2" t="n"/>
      <c r="D90" s="2" t="n"/>
      <c r="E90" s="2" t="n"/>
      <c r="F90" s="2" t="n"/>
      <c r="G90" s="2" t="n"/>
      <c r="H90" s="2" t="n"/>
      <c r="I90" s="2" t="n"/>
      <c r="J90" s="2" t="n"/>
      <c r="K90" s="2" t="n"/>
      <c r="L90" s="2" t="n"/>
      <c r="M90" s="2" t="n"/>
      <c r="N90" s="2" t="n"/>
      <c r="O90" s="2" t="n"/>
      <c r="P90" s="2" t="n"/>
      <c r="Q90" s="2" t="n"/>
      <c r="R90" s="2" t="n"/>
      <c r="S90" s="2" t="n"/>
      <c r="T90" s="2" t="n"/>
      <c r="U90" s="2" t="n"/>
      <c r="V90" s="2" t="n"/>
      <c r="W90" s="2" t="n"/>
      <c r="X90" s="2" t="n"/>
      <c r="Y90" s="2" t="n"/>
      <c r="Z90" s="2" t="n"/>
      <c r="AA90" s="2" t="n"/>
      <c r="AB90" s="2" t="n"/>
      <c r="AC90" s="2" t="n"/>
    </row>
    <row r="91" ht="28" customHeight="1">
      <c r="B91" s="25" t="inlineStr">
        <is>
          <t>Assumption</t>
        </is>
      </c>
      <c r="C91" s="26" t="inlineStr">
        <is>
          <t>Key</t>
        </is>
      </c>
      <c r="D91" s="26" t="inlineStr">
        <is>
          <t>Assumed</t>
        </is>
      </c>
      <c r="E91" s="26" t="inlineStr">
        <is>
          <t>Probe</t>
        </is>
      </c>
      <c r="F91" s="26" t="inlineStr">
        <is>
          <t>NPV assumed</t>
        </is>
      </c>
      <c r="G91" s="26" t="inlineStr">
        <is>
          <t>NPV probe</t>
        </is>
      </c>
      <c r="H91" s="26" t="inlineStr">
        <is>
          <t>Slope</t>
        </is>
      </c>
      <c r="I91" s="26" t="inlineStr">
        <is>
          <t>Raw break-even</t>
        </is>
      </c>
      <c r="J91" s="26" t="inlineStr">
        <is>
          <t>Lowest</t>
        </is>
      </c>
      <c r="K91" s="26" t="inlineStr">
        <is>
          <t>Highest</t>
        </is>
      </c>
      <c r="L91" s="26" t="inlineStr">
        <is>
          <t>Break-even</t>
        </is>
      </c>
      <c r="M91" s="26" t="inlineStr">
        <is>
          <t>NPV at break-even</t>
        </is>
      </c>
      <c r="N91" s="26" t="inlineStr">
        <is>
          <t>Check</t>
        </is>
      </c>
      <c r="O91" s="26" t="inlineStr">
        <is>
          <t>What has to be true</t>
        </is>
      </c>
    </row>
    <row r="92">
      <c r="B92" s="28" t="inlineStr">
        <is>
          <t>AI accuracy</t>
        </is>
      </c>
      <c r="C92" s="76" t="inlineStr">
        <is>
          <t>acc</t>
        </is>
      </c>
      <c r="D92" s="193">
        <f>D6</f>
        <v>0.92</v>
      </c>
      <c r="E92" s="193">
        <f>D16</f>
        <v>0.93</v>
      </c>
      <c r="F92" s="140">
        <f>AB6</f>
        <v>113792.449549866</v>
      </c>
      <c r="G92" s="140">
        <f>AB16</f>
        <v>123520.793415185</v>
      </c>
      <c r="H92" s="189">
        <f>IF(E92=D92,0,(G92-F92)/(E92-D92))</f>
        <v>972834.386531926</v>
      </c>
      <c r="I92" s="193">
        <f>IF(ABS(H92)&lt;0.000001,D92,D92-F92/H92)</f>
        <v>0.803029988325633</v>
      </c>
      <c r="J92" s="195">
        <f>0</f>
        <v>0</v>
      </c>
      <c r="K92" s="195">
        <f>1</f>
        <v>1</v>
      </c>
      <c r="L92" s="196">
        <f>IF(ABS(H92)&lt;0.000001,"No effect",IF(I92&lt;J92,IF(H92&gt;0,"Holds at any level","Not reachable"),IF(I92&gt;K92,IF(H92&gt;0,"Not reachable","Holds at any level"),I92)))</f>
        <v>0.803029988325633</v>
      </c>
      <c r="M92" s="140">
        <f>AB30</f>
        <v>1.65073288371786e-10</v>
      </c>
      <c r="N92" s="197" t="str">
        <f>IF(ISNUMBER(L92),IF(ABS(M92)&lt;1,"OK","Approximate"),"")</f>
        <v>OK</v>
      </c>
      <c r="O92" s="28" t="str">
        <f>IF(ISNUMBER(L92),IF(F92&gt;=0,"AI accuracy stays above "&amp;TEXT(L92,"0.0%")&amp;" (assumed "&amp;TEXT(D92,"0.0%")&amp;").","AI accuracy would need to reach "&amp;TEXT(L92,"0.0%")&amp;" (assumed "&amp;TEXT(D92,"0.0%")&amp;")."),IF(L92="Holds at any level","Accuracy alone can't break this case.",IF(L92="Not reachable","Even 100% accuracy wouldn't make the case break even.","This assumption doesn't move the answer.")))</f>
        <v>AI accuracy stays above 80.3% (assumed 92.0%).</v>
      </c>
    </row>
    <row r="93">
      <c r="B93" s="28" t="inlineStr">
        <is>
          <t>Share of items the AI handles</t>
        </is>
      </c>
      <c r="C93" s="76" t="inlineStr">
        <is>
          <t>h</t>
        </is>
      </c>
      <c r="D93" s="193">
        <f>E6</f>
        <v>0.8</v>
      </c>
      <c r="E93" s="193">
        <f>E17</f>
        <v>0.81</v>
      </c>
      <c r="F93" s="140">
        <f>AB6</f>
        <v>113792.449549866</v>
      </c>
      <c r="G93" s="140">
        <f>AB17</f>
        <v>118888.803211338</v>
      </c>
      <c r="H93" s="189">
        <f>IF(E93=D93,0,(G93-F93)/(E93-D93))</f>
        <v>509635.366147282</v>
      </c>
      <c r="I93" s="193">
        <f>IF(ABS(H93)&lt;0.000001,D93,D93-F93/H93)</f>
        <v>0.576717910277482</v>
      </c>
      <c r="J93" s="195">
        <f>0</f>
        <v>0</v>
      </c>
      <c r="K93" s="195">
        <f>1</f>
        <v>1</v>
      </c>
      <c r="L93" s="196">
        <f>IF(ABS(H93)&lt;0.000001,"No effect",IF(I93&lt;J93,IF(H93&gt;0,"Holds at any level","Not reachable"),IF(I93&gt;K93,IF(H93&gt;0,"Not reachable","Holds at any level"),I93)))</f>
        <v>0.576717910277482</v>
      </c>
      <c r="M93" s="140">
        <f>AB31</f>
        <v>-3.6652636481449e-10</v>
      </c>
      <c r="N93" s="197" t="str">
        <f>IF(ISNUMBER(L93),IF(ABS(M93)&lt;1,"OK","Approximate"),"")</f>
        <v>OK</v>
      </c>
      <c r="O93" s="28" t="str">
        <f>IF(ISNUMBER(L93),IF(F93&gt;=0,"The AI handles at least "&amp;TEXT(L93,"0.0%")&amp;" of items (assumed "&amp;TEXT(D93,"0.0%")&amp;").","The AI would need to handle "&amp;TEXT(L93,"0.0%")&amp;" of items (assumed "&amp;TEXT(D93,"0.0%")&amp;")."),IF(L93="Holds at any level","The share of items the AI handles can't break this case on its own.",IF(L93="Not reachable","Even if the AI handled every item, the case wouldn't break even.","This assumption doesn't move the answer.")))</f>
        <v>The AI handles at least 57.7% of items (assumed 80.0%).</v>
      </c>
    </row>
    <row r="94">
      <c r="B94" s="28" t="inlineStr">
        <is>
          <t>Human minutes per reviewed item</t>
        </is>
      </c>
      <c r="C94" s="76" t="inlineStr">
        <is>
          <t>m1</t>
        </is>
      </c>
      <c r="D94" s="194">
        <f>F6</f>
        <v>8</v>
      </c>
      <c r="E94" s="194">
        <f>F18</f>
        <v>9</v>
      </c>
      <c r="F94" s="140">
        <f>AB6</f>
        <v>113792.449549866</v>
      </c>
      <c r="G94" s="140">
        <f>AB18</f>
        <v>103912.375983346</v>
      </c>
      <c r="H94" s="189">
        <f>IF(E94=D94,0,(G94-F94)/(E94-D94))</f>
        <v>-9880.07356651934</v>
      </c>
      <c r="I94" s="194">
        <f>IF(ABS(H94)&lt;0.000001,D94,D94-F94/H94)</f>
        <v>19.5173686495083</v>
      </c>
      <c r="J94" s="151">
        <f>0</f>
        <v>0</v>
      </c>
      <c r="K94" s="151">
        <f>100000</f>
        <v>100000</v>
      </c>
      <c r="L94" s="198">
        <f>IF(ABS(H94)&lt;0.000001,"No effect",IF(I94&lt;J94,IF(H94&gt;0,"Holds at any level","Not reachable"),IF(I94&gt;K94,IF(H94&gt;0,"Not reachable","Holds at any level"),I94)))</f>
        <v>19.5173686495083</v>
      </c>
      <c r="M94" s="140">
        <f>AB32</f>
        <v>-3.6652636481449e-10</v>
      </c>
      <c r="N94" s="197" t="str">
        <f>IF(ISNUMBER(L94),IF(ABS(M94)&lt;1,"OK","Approximate"),"")</f>
        <v>OK</v>
      </c>
      <c r="O94" s="28" t="str">
        <f>IF(ISNUMBER(L94),IF(F94&gt;=0,"Review takes less than "&amp;TEXT(L94,"0.0")&amp;" minutes per "&amp;ItemWord&amp;" (assumed "&amp;TEXT(D94,"0.0")&amp;").","Review would need to take "&amp;TEXT(L94,"0.0")&amp;" minutes per "&amp;ItemWord&amp;" or less (assumed "&amp;TEXT(D94,"0.0")&amp;")."),IF(L94="Holds at any level","Review time alone can't break this case.",IF(L94="Not reachable","Even instant review wouldn't make the case break even.","This assumption doesn't move the answer.")))</f>
        <v>Review takes less than 19.5 minutes per application (assumed 8.0).</v>
      </c>
    </row>
    <row r="95">
      <c r="B95" s="28" t="inlineStr">
        <is>
          <t>Share of freed time that becomes real value</t>
        </is>
      </c>
      <c r="C95" s="76" t="inlineStr">
        <is>
          <t>rho</t>
        </is>
      </c>
      <c r="D95" s="193">
        <f>G6</f>
        <v>0.7</v>
      </c>
      <c r="E95" s="193">
        <f>G19</f>
        <v>0.71</v>
      </c>
      <c r="F95" s="140">
        <f>AB6</f>
        <v>113792.449549866</v>
      </c>
      <c r="G95" s="140">
        <f>AB19</f>
        <v>118165.087822591</v>
      </c>
      <c r="H95" s="189">
        <f>IF(E95=D95,0,(G95-F95)/(E95-D95))</f>
        <v>437263.827272532</v>
      </c>
      <c r="I95" s="193">
        <f>IF(ABS(H95)&lt;0.000001,D95,D95-F95/H95)</f>
        <v>0.439762490166051</v>
      </c>
      <c r="J95" s="195">
        <f>0</f>
        <v>0</v>
      </c>
      <c r="K95" s="195">
        <f>1</f>
        <v>1</v>
      </c>
      <c r="L95" s="196">
        <f>IF(ABS(H95)&lt;0.000001,"No effect",IF(I95&lt;J95,IF(H95&gt;0,"Holds at any level","Not reachable"),IF(I95&gt;K95,IF(H95&gt;0,"Not reachable","Holds at any level"),I95)))</f>
        <v>0.439762490166051</v>
      </c>
      <c r="M95" s="140">
        <f>AB33</f>
        <v>7.93079379945993e-10</v>
      </c>
      <c r="N95" s="197" t="str">
        <f>IF(ISNUMBER(L95),IF(ABS(M95)&lt;1,"OK","Approximate"),"")</f>
        <v>OK</v>
      </c>
      <c r="O95" s="28" t="str">
        <f>IF(ISNUMBER(L95),IF(F95&gt;=0,"At least "&amp;TEXT(L95,"0.0%")&amp;" of the freed time becomes real value (assumed "&amp;TEXT(D95,"0.0%")&amp;").",""&amp;TEXT(L95,"0.0%")&amp;" of the freed time would need to become real value (assumed "&amp;TEXT(D95,"0.0%")&amp;")."),IF(L95="Holds at any level","The case holds even if none of the freed time becomes value.",IF(L95="Not reachable","Even if every freed hour became value, the case wouldn't break even.","This assumption doesn't move the answer.")))</f>
        <v>At least 44.0% of the freed time becomes real value (assumed 70.0%).</v>
      </c>
    </row>
    <row r="96">
      <c r="B96" s="28" t="inlineStr">
        <is>
          <t>Adoption achieved vs plan</t>
        </is>
      </c>
      <c r="C96" s="76" t="inlineStr">
        <is>
          <t>am</t>
        </is>
      </c>
      <c r="D96" s="138">
        <f>H6</f>
        <v>1</v>
      </c>
      <c r="E96" s="138">
        <f>H20</f>
        <v>1.01</v>
      </c>
      <c r="F96" s="140">
        <f>AB6</f>
        <v>113792.449549866</v>
      </c>
      <c r="G96" s="140">
        <f>AB20</f>
        <v>117818.72067213</v>
      </c>
      <c r="H96" s="189">
        <f>IF(E96=D96,0,(G96-F96)/(E96-D96))</f>
        <v>402627.112226475</v>
      </c>
      <c r="I96" s="138">
        <f>IF(ABS(H96)&lt;0.000001,D96,D96-F96/H96)</f>
        <v>0.717375094487283</v>
      </c>
      <c r="J96" s="199">
        <f>0</f>
        <v>0</v>
      </c>
      <c r="K96" s="199">
        <f>IF(MAX(Model!$D$48:$O$48)&gt;0,1/MAX(Model!$D$48:$O$48),0)</f>
        <v>1.11111111111111</v>
      </c>
      <c r="L96" s="200">
        <f>IF(ABS(H96)&lt;0.000001,"No effect",IF(I96&lt;J96,IF(H96&gt;0,"Holds at any level","Not reachable"),IF(I96&gt;K96,IF(H96&gt;0,"Not reachable","Holds at any level"),I96)))</f>
        <v>0.717375094487283</v>
      </c>
      <c r="M96" s="140">
        <f>AB34</f>
        <v>1.97815097635612e-10</v>
      </c>
      <c r="N96" s="197" t="str">
        <f>IF(ISNUMBER(L96),IF(ABS(M96)&lt;1,"OK","Approximate"),"")</f>
        <v>OK</v>
      </c>
      <c r="O96" s="28" t="str">
        <f>IF(ISNUMBER(L96),IF(F96&gt;=0,"Adoption reaches at least "&amp;TEXT(L96,"0%")&amp;" of plan (assumed "&amp;TEXT(D96,"0%")&amp;").","Adoption would need to reach "&amp;TEXT(L96,"0%")&amp;" of plan (assumed "&amp;TEXT(D96,"0%")&amp;")."),IF(L96="Holds at any level","Adoption alone can't break this case.",IF(L96="Not reachable","Even full adoption wouldn't make the case break even.","This assumption doesn't move the answer.")))</f>
        <v>Adoption reaches at least 72% of plan (assumed 100%).</v>
      </c>
    </row>
    <row r="97">
      <c r="B97" s="28" t="inlineStr">
        <is>
          <t>Run cost per item</t>
        </is>
      </c>
      <c r="C97" s="76" t="inlineStr">
        <is>
          <t>run</t>
        </is>
      </c>
      <c r="D97" s="190">
        <f>J6</f>
        <v>0.216</v>
      </c>
      <c r="E97" s="190">
        <f>J21</f>
        <v>0.226</v>
      </c>
      <c r="F97" s="140">
        <f>AB6</f>
        <v>113792.449549866</v>
      </c>
      <c r="G97" s="140">
        <f>AB21</f>
        <v>113557.209703044</v>
      </c>
      <c r="H97" s="189">
        <f>IF(E97=D97,0,(G97-F97)/(E97-D97))</f>
        <v>-23523.9846821845</v>
      </c>
      <c r="I97" s="190">
        <f>IF(ABS(H97)&lt;0.000001,D97,D97-F97/H97)</f>
        <v>5.05329483279439</v>
      </c>
      <c r="J97" s="201">
        <f>0</f>
        <v>0</v>
      </c>
      <c r="K97" s="201">
        <f>1E+12</f>
        <v>1000000000000</v>
      </c>
      <c r="L97" s="202">
        <f>IF(ABS(H97)&lt;0.000001,"No effect",IF(I97&lt;J97,IF(H97&gt;0,"Holds at any level","Not reachable"),IF(I97&gt;K97,IF(H97&gt;0,"Not reachable","Holds at any level"),I97)))</f>
        <v>5.05329483279439</v>
      </c>
      <c r="M97" s="140">
        <f>AB35</f>
        <v>-2.17028173210565e-08</v>
      </c>
      <c r="N97" s="197" t="str">
        <f>IF(ISNUMBER(L97),IF(ABS(M97)&lt;1,"OK","Approximate"),"")</f>
        <v>OK</v>
      </c>
      <c r="O97" s="28" t="str">
        <f>IF(ISNUMBER(L97),IF(F97&gt;=0,"Run cost stays below "&amp;IF((L97)&lt;0,"-"&amp;in_Currency&amp;TEXT(-(L97),"#,##0.00"),in_Currency&amp;TEXT(L97,"#,##0.00"))&amp;" per "&amp;ItemWord&amp;" (assumed "&amp;IF((D97)&lt;0,"-"&amp;in_Currency&amp;TEXT(-(D97),"#,##0.00"),in_Currency&amp;TEXT(D97,"#,##0.00"))&amp;").","Run cost would need to fall to "&amp;IF((L97)&lt;0,"-"&amp;in_Currency&amp;TEXT(-(L97),"#,##0.00"),in_Currency&amp;TEXT(L97,"#,##0.00"))&amp;" per "&amp;ItemWord&amp;" (assumed "&amp;IF((D97)&lt;0,"-"&amp;in_Currency&amp;TEXT(-(D97),"#,##0.00"),in_Currency&amp;TEXT(D97,"#,##0.00"))&amp;")."),IF(L97="Holds at any level","Run cost alone can't break this case.",IF(L97="Not reachable","Even a free model wouldn't make the case break even.","This assumption doesn't move the answer.")))</f>
        <v>Run cost stays below £5.05 per application (assumed £0.22).</v>
      </c>
    </row>
    <row r="98">
      <c r="B98" s="28" t="inlineStr">
        <is>
          <t>One-off cost</t>
        </is>
      </c>
      <c r="C98" s="76" t="inlineStr">
        <is>
          <t>one</t>
        </is>
      </c>
      <c r="D98" s="140">
        <f>K6</f>
        <v>130000</v>
      </c>
      <c r="E98" s="140">
        <f>K22</f>
        <v>131000</v>
      </c>
      <c r="F98" s="140">
        <f>AB6</f>
        <v>113792.449549866</v>
      </c>
      <c r="G98" s="140">
        <f>AB22</f>
        <v>112827.491210405</v>
      </c>
      <c r="H98" s="189">
        <f>IF(E98=D98,0,(G98-F98)/(E98-D98))</f>
        <v>-0.964958339460965</v>
      </c>
      <c r="I98" s="140">
        <f>IF(ABS(H98)&lt;0.000001,D98,D98-F98/H98)</f>
        <v>247924.727831702</v>
      </c>
      <c r="J98" s="203">
        <f>0</f>
        <v>0</v>
      </c>
      <c r="K98" s="203">
        <f>1E+12</f>
        <v>1000000000000</v>
      </c>
      <c r="L98" s="192">
        <f>IF(ABS(H98)&lt;0.000001,"No effect",IF(I98&lt;J98,IF(H98&gt;0,"Holds at any level","Not reachable"),IF(I98&gt;K98,IF(H98&gt;0,"Not reachable","Holds at any level"),I98)))</f>
        <v>247924.727831702</v>
      </c>
      <c r="M98" s="140">
        <f>AB36</f>
        <v>1.64072844199836e-09</v>
      </c>
      <c r="N98" s="197" t="str">
        <f>IF(ISNUMBER(L98),IF(ABS(M98)&lt;1,"OK","Approximate"),"")</f>
        <v>OK</v>
      </c>
      <c r="O98" s="28" t="str">
        <f>IF(ISNUMBER(L98),IF(F98&gt;=0,"One-off costs stay below "&amp;IF((L98)&lt;0,"-"&amp;in_Currency&amp;TEXT(-(L98),"#,##0"),in_Currency&amp;TEXT(L98,"#,##0"))&amp;" (assumed "&amp;IF((D98)&lt;0,"-"&amp;in_Currency&amp;TEXT(-(D98),"#,##0"),in_Currency&amp;TEXT(D98,"#,##0"))&amp;").","One-off costs would need to fall to "&amp;IF((L98)&lt;0,"-"&amp;in_Currency&amp;TEXT(-(L98),"#,##0"),in_Currency&amp;TEXT(L98,"#,##0"))&amp;" (assumed "&amp;IF((D98)&lt;0,"-"&amp;in_Currency&amp;TEXT(-(D98),"#,##0"),in_Currency&amp;TEXT(D98,"#,##0"))&amp;")."),IF(L98="Holds at any level","One-off costs alone can't break this case.",IF(L98="Not reachable","Even with no one-off cost, the case wouldn't break even.","This assumption doesn't move the answer.")))</f>
        <v>One-off costs stay below £247,925 (assumed £130,000).</v>
      </c>
    </row>
  </sheetData>
  <mergeCells count="1">
    <mergeCell ref="B2:AC2"/>
  </mergeCell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2026-10-01T23:23:30Z</dcterms:created>
  <dcterms:modified xmlns:dcterms="http://purl.org/dc/terms/" xmlns:xsi="http://www.w3.org/2001/XMLSchema-instance" xsi:type="dcterms:W3CDTF">2026-10-01T23:23:30Z</dcterms:modified>
</cp:coreProperties>
</file>